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danone-my.sharepoint.com/personal/sarah_obrien_nutricia_com/Documents/NLC/GI-Allergy/"/>
    </mc:Choice>
  </mc:AlternateContent>
  <xr:revisionPtr revIDLastSave="0" documentId="8_{4B1F05A3-1117-463D-AC4E-94B9AC2C5364}" xr6:coauthVersionLast="47" xr6:coauthVersionMax="47" xr10:uidLastSave="{00000000-0000-0000-0000-000000000000}"/>
  <workbookProtection workbookAlgorithmName="SHA-512" workbookHashValue="0M9Y90BIiQfvpyyAaOryzqfq9GtFFdLOXCp/TvUTGx3t5ZUUHiYWhRzZaeJuCuqsT80HuglMEl7QNGNG2l7uig==" workbookSaltValue="zPrl1ofNBJVolrEvzTNEUQ==" workbookSpinCount="100000" lockStructure="1"/>
  <bookViews>
    <workbookView xWindow="1520" yWindow="1520" windowWidth="14400" windowHeight="7460" tabRatio="773" activeTab="1" xr2:uid="{00000000-000D-0000-FFFF-FFFF00000000}"/>
  </bookViews>
  <sheets>
    <sheet name="Neocate® &amp; Pepticate™ DRI Calc" sheetId="16" r:id="rId1"/>
    <sheet name="Mixing &amp; Measures Tool" sheetId="15" r:id="rId2"/>
    <sheet name="Source info" sheetId="17" state="hidden" r:id="rId3"/>
  </sheets>
  <definedNames>
    <definedName name="Neocate__Syneo__Infant">'Source info'!$B$8</definedName>
    <definedName name="NeocateImages">INDEX('Source info'!$E$3:$F$13,MATCH('Mixing &amp; Measures Tool'!$B$5,'Source info'!$E$3:$E$13,0),2)</definedName>
    <definedName name="NeocateImages2">INDEX('Source info'!$E$3:$F$13,MATCH('Neocate® &amp; Pepticate™ DRI Calc'!$B$10,'Source info'!$E$3:$E$13,0),2)</definedName>
    <definedName name="_xlnm.Print_Area" localSheetId="1">'Mixing &amp; Measures Tool'!$A$2:$L$68</definedName>
    <definedName name="_xlnm.Print_Area" localSheetId="0">'Neocate® &amp; Pepticate™ DRI Calc'!$A$1:$X$85</definedName>
  </definedNames>
  <calcPr calcId="191028"/>
  <extLst>
    <ext xmlns:x14="http://schemas.microsoft.com/office/spreadsheetml/2009/9/main" uri="{79F54976-1DA5-4618-B147-4CDE4B953A38}">
      <x14:workbookPr defaultImageDpi="150"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5" l="1"/>
  <c r="DX17" i="17"/>
  <c r="AC1" i="17"/>
  <c r="O6" i="16" l="1"/>
  <c r="H25" i="16"/>
  <c r="E13" i="17"/>
  <c r="E3" i="17"/>
  <c r="B66" i="16" l="1"/>
  <c r="N47" i="16" l="1"/>
  <c r="N29" i="16" l="1"/>
  <c r="N9" i="16"/>
  <c r="B20" i="16"/>
  <c r="B50" i="15"/>
  <c r="I9" i="15"/>
  <c r="B43" i="16"/>
  <c r="H41" i="16"/>
  <c r="B40" i="16"/>
  <c r="H19" i="16"/>
  <c r="B41" i="16"/>
  <c r="B37" i="16"/>
  <c r="B3" i="15"/>
  <c r="BK1" i="17"/>
  <c r="BJ1" i="17"/>
  <c r="BI1" i="17"/>
  <c r="BH1" i="17"/>
  <c r="BG1" i="17"/>
  <c r="BF1" i="17"/>
  <c r="BE1" i="17"/>
  <c r="BD1" i="17"/>
  <c r="BB1" i="17"/>
  <c r="BA1" i="17"/>
  <c r="AZ1" i="17"/>
  <c r="AY1" i="17"/>
  <c r="AX1" i="17"/>
  <c r="AW1" i="17"/>
  <c r="AU1" i="17"/>
  <c r="AT1" i="17"/>
  <c r="AS1" i="17"/>
  <c r="AR1" i="17"/>
  <c r="AP1" i="17"/>
  <c r="AO1" i="17"/>
  <c r="AM1" i="17"/>
  <c r="AL1" i="17"/>
  <c r="AJ1" i="17"/>
  <c r="AH1" i="17"/>
  <c r="AF1" i="17"/>
  <c r="AE1" i="17"/>
  <c r="AD1" i="17"/>
  <c r="AB1" i="17"/>
  <c r="AA1" i="17"/>
  <c r="Y1" i="17"/>
  <c r="A52" i="15"/>
  <c r="A36" i="15"/>
  <c r="X1" i="17"/>
  <c r="W1" i="17"/>
  <c r="V1" i="17"/>
  <c r="U1" i="17"/>
  <c r="T1" i="17"/>
  <c r="S1" i="17"/>
  <c r="R1" i="17"/>
  <c r="Q1" i="17"/>
  <c r="P1" i="17"/>
  <c r="O1" i="17"/>
  <c r="N1" i="17"/>
  <c r="M1" i="17"/>
  <c r="HK27" i="17"/>
  <c r="HK24" i="17"/>
  <c r="HK23" i="17"/>
  <c r="HK31" i="17"/>
  <c r="HK25" i="17"/>
  <c r="HK21" i="17"/>
  <c r="HK22" i="17"/>
  <c r="HK26" i="17"/>
  <c r="HK20" i="17"/>
  <c r="HK29" i="17"/>
  <c r="HK30" i="17"/>
  <c r="HK28" i="17"/>
  <c r="HK19" i="17"/>
  <c r="HK18" i="17"/>
  <c r="EH22" i="17"/>
  <c r="EH20" i="17"/>
  <c r="EH23" i="17"/>
  <c r="EH18" i="17"/>
  <c r="EH29" i="17"/>
  <c r="EH19" i="17"/>
  <c r="EH21" i="17"/>
  <c r="EH27" i="17"/>
  <c r="EH28" i="17"/>
  <c r="EH33" i="17"/>
  <c r="EH25" i="17"/>
  <c r="EH24" i="17"/>
  <c r="EH31" i="17"/>
  <c r="EH30" i="17"/>
  <c r="EH32" i="17"/>
  <c r="EH26" i="17"/>
  <c r="CE25" i="17"/>
  <c r="CE27" i="17"/>
  <c r="CE21" i="17"/>
  <c r="CE18" i="17"/>
  <c r="CE22" i="17"/>
  <c r="KK17" i="17"/>
  <c r="KH17" i="17"/>
  <c r="KE17" i="17"/>
  <c r="KB17" i="17"/>
  <c r="JY17" i="17"/>
  <c r="JV17" i="17"/>
  <c r="JS17" i="17"/>
  <c r="JP17" i="17"/>
  <c r="JM17" i="17"/>
  <c r="JJ17" i="17"/>
  <c r="JG17" i="17"/>
  <c r="JD17" i="17"/>
  <c r="JA17" i="17"/>
  <c r="IX17" i="17"/>
  <c r="IU17" i="17"/>
  <c r="IR17" i="17"/>
  <c r="IO17" i="17"/>
  <c r="IL17" i="17"/>
  <c r="II17" i="17"/>
  <c r="IF17" i="17"/>
  <c r="HZ17" i="17"/>
  <c r="HW17" i="17"/>
  <c r="HT17" i="17"/>
  <c r="HQ17" i="17"/>
  <c r="HN17" i="17"/>
  <c r="HH17" i="17"/>
  <c r="HE17" i="17"/>
  <c r="HB17" i="17"/>
  <c r="GY17" i="17"/>
  <c r="GV17" i="17"/>
  <c r="GS17" i="17"/>
  <c r="GP17" i="17"/>
  <c r="GM17" i="17"/>
  <c r="GJ17" i="17"/>
  <c r="GG17" i="17"/>
  <c r="GD17" i="17"/>
  <c r="GA17" i="17"/>
  <c r="FX17" i="17"/>
  <c r="FU17" i="17"/>
  <c r="FR17" i="17"/>
  <c r="FO17" i="17"/>
  <c r="FL17" i="17"/>
  <c r="FI17" i="17"/>
  <c r="FF17" i="17"/>
  <c r="FC17" i="17"/>
  <c r="EW17" i="17"/>
  <c r="ET17" i="17"/>
  <c r="EQ17" i="17"/>
  <c r="EN17" i="17"/>
  <c r="EK17" i="17"/>
  <c r="HV17" i="17"/>
  <c r="HU17" i="17"/>
  <c r="ES17" i="17"/>
  <c r="ER17" i="17"/>
  <c r="CM17" i="17"/>
  <c r="CL17" i="17"/>
  <c r="HS17" i="17"/>
  <c r="HR17" i="17"/>
  <c r="EP17" i="17"/>
  <c r="EO17" i="17"/>
  <c r="CK17" i="17"/>
  <c r="CJ17" i="17"/>
  <c r="JU17" i="17"/>
  <c r="JT17" i="17"/>
  <c r="GR17" i="17"/>
  <c r="GQ17" i="17"/>
  <c r="DU17" i="17"/>
  <c r="DT17" i="17"/>
  <c r="JX17" i="17"/>
  <c r="JW17" i="17"/>
  <c r="GU17" i="17"/>
  <c r="GT17" i="17"/>
  <c r="DW17" i="17"/>
  <c r="DV17" i="17"/>
  <c r="JF17" i="17"/>
  <c r="JE17" i="17"/>
  <c r="GC17" i="17"/>
  <c r="GB17" i="17"/>
  <c r="DK17" i="17"/>
  <c r="DJ17" i="17"/>
  <c r="JL17" i="17"/>
  <c r="JK17" i="17"/>
  <c r="GI17" i="17"/>
  <c r="GH17" i="17"/>
  <c r="DO17" i="17"/>
  <c r="DN17" i="17"/>
  <c r="JC17" i="17"/>
  <c r="JB17" i="17"/>
  <c r="FZ17" i="17"/>
  <c r="FY17" i="17"/>
  <c r="DI17" i="17"/>
  <c r="DH17" i="17"/>
  <c r="JI17" i="17"/>
  <c r="JH17" i="17"/>
  <c r="GF17" i="17"/>
  <c r="GE17" i="17"/>
  <c r="DM17" i="17"/>
  <c r="DL17" i="17"/>
  <c r="IW17" i="17"/>
  <c r="IV17" i="17"/>
  <c r="FT17" i="17"/>
  <c r="FS17" i="17"/>
  <c r="DE17" i="17"/>
  <c r="DD17" i="17"/>
  <c r="IQ17" i="17"/>
  <c r="IP17" i="17"/>
  <c r="FN17" i="17"/>
  <c r="FM17" i="17"/>
  <c r="DA17" i="17"/>
  <c r="CZ17" i="17"/>
  <c r="IZ17" i="17"/>
  <c r="IY17" i="17"/>
  <c r="FW17" i="17"/>
  <c r="FV17" i="17"/>
  <c r="DG17" i="17"/>
  <c r="DF17" i="17"/>
  <c r="IT17" i="17"/>
  <c r="IS17" i="17"/>
  <c r="FQ17" i="17"/>
  <c r="FP17" i="17"/>
  <c r="DC17" i="17"/>
  <c r="DB17" i="17"/>
  <c r="HM17" i="17"/>
  <c r="HL17" i="17"/>
  <c r="EJ17" i="17"/>
  <c r="EI17" i="17"/>
  <c r="CG17" i="17"/>
  <c r="CF17" i="17"/>
  <c r="HP17" i="17"/>
  <c r="HO17" i="17"/>
  <c r="EM17" i="17"/>
  <c r="EL17" i="17"/>
  <c r="CI17" i="17"/>
  <c r="CH17" i="17"/>
  <c r="IN17" i="17"/>
  <c r="IM17" i="17"/>
  <c r="FK17" i="17"/>
  <c r="FJ17" i="17"/>
  <c r="CY17" i="17"/>
  <c r="CX17" i="17"/>
  <c r="IK17" i="17"/>
  <c r="IJ17" i="17"/>
  <c r="FH17" i="17"/>
  <c r="FG17" i="17"/>
  <c r="CW17" i="17"/>
  <c r="CV17" i="17"/>
  <c r="KG17" i="17"/>
  <c r="KF17" i="17"/>
  <c r="HD17" i="17"/>
  <c r="HC17" i="17"/>
  <c r="EC17" i="17"/>
  <c r="EB17" i="17"/>
  <c r="KJ17" i="17"/>
  <c r="KI17" i="17"/>
  <c r="HG17" i="17"/>
  <c r="HF17" i="17"/>
  <c r="EE17" i="17"/>
  <c r="ED17" i="17"/>
  <c r="JO17" i="17"/>
  <c r="JN17" i="17"/>
  <c r="GL17" i="17"/>
  <c r="GK17" i="17"/>
  <c r="DQ17" i="17"/>
  <c r="DP17" i="17"/>
  <c r="JR17" i="17"/>
  <c r="JQ17" i="17"/>
  <c r="GO17" i="17"/>
  <c r="GN17" i="17"/>
  <c r="DS17" i="17"/>
  <c r="DR17" i="17"/>
  <c r="IE17" i="17"/>
  <c r="ID17" i="17"/>
  <c r="FB17" i="17"/>
  <c r="FA17" i="17"/>
  <c r="CS17" i="17"/>
  <c r="CR17" i="17"/>
  <c r="IH17" i="17"/>
  <c r="IG17" i="17"/>
  <c r="FE17" i="17"/>
  <c r="FD17" i="17"/>
  <c r="CU17" i="17"/>
  <c r="CT17" i="17"/>
  <c r="KA17" i="17"/>
  <c r="JZ17" i="17"/>
  <c r="GX17" i="17"/>
  <c r="GW17" i="17"/>
  <c r="DY17" i="17"/>
  <c r="KD17" i="17"/>
  <c r="KC17" i="17"/>
  <c r="HA17" i="17"/>
  <c r="GZ17" i="17"/>
  <c r="EA17" i="17"/>
  <c r="DZ17" i="17"/>
  <c r="HY17" i="17"/>
  <c r="HX17" i="17"/>
  <c r="EV17" i="17"/>
  <c r="EU17" i="17"/>
  <c r="CO17" i="17"/>
  <c r="CN17" i="17"/>
  <c r="EZ17" i="17"/>
  <c r="EY17" i="17"/>
  <c r="EX17" i="17"/>
  <c r="CQ17" i="17"/>
  <c r="CP17" i="17"/>
  <c r="IA17" i="17"/>
  <c r="IC17" i="17"/>
  <c r="IB17" i="17"/>
  <c r="CE28" i="17"/>
  <c r="CE24" i="17"/>
  <c r="CE19" i="17"/>
  <c r="CE20" i="17"/>
  <c r="CE26" i="17"/>
  <c r="CE29" i="17"/>
  <c r="CE23" i="17"/>
  <c r="Q6" i="16"/>
  <c r="F20" i="16" s="1"/>
  <c r="E6" i="17"/>
  <c r="E11" i="17"/>
  <c r="E8" i="17"/>
  <c r="E7" i="17"/>
  <c r="E5" i="17"/>
  <c r="E4" i="17"/>
  <c r="E10" i="17"/>
  <c r="E9" i="17"/>
  <c r="B45" i="15"/>
  <c r="A22" i="15"/>
  <c r="BU5" i="17"/>
  <c r="BT5" i="17"/>
  <c r="BV5" i="17" s="1"/>
  <c r="BW5" i="17" s="1"/>
  <c r="BX5" i="17" s="1"/>
  <c r="BY5" i="17" s="1"/>
  <c r="BU4" i="17"/>
  <c r="BT4" i="17"/>
  <c r="BV4" i="17" s="1"/>
  <c r="BW4" i="17" s="1"/>
  <c r="BX4" i="17" s="1"/>
  <c r="BY4" i="17" s="1"/>
  <c r="BU7" i="17"/>
  <c r="BT7" i="17"/>
  <c r="BV7" i="17" s="1"/>
  <c r="BW7" i="17" s="1"/>
  <c r="BX7" i="17" s="1"/>
  <c r="BY7" i="17" s="1"/>
  <c r="BU8" i="17"/>
  <c r="BT8" i="17"/>
  <c r="BV8" i="17" s="1"/>
  <c r="BW8" i="17" s="1"/>
  <c r="BX8" i="17" s="1"/>
  <c r="BY8" i="17" s="1"/>
  <c r="L1" i="15"/>
  <c r="J57" i="15"/>
  <c r="H54" i="15"/>
  <c r="B54" i="15"/>
  <c r="H38" i="15"/>
  <c r="H29" i="15"/>
  <c r="F17" i="15"/>
  <c r="H17" i="15" s="1"/>
  <c r="H16" i="15"/>
  <c r="H15" i="15"/>
  <c r="K1" i="15"/>
  <c r="J1" i="15"/>
  <c r="I1" i="15"/>
  <c r="H1" i="15"/>
  <c r="G1" i="15"/>
  <c r="F1" i="15"/>
  <c r="E1" i="15"/>
  <c r="D1" i="15"/>
  <c r="C1" i="15"/>
  <c r="B1" i="15"/>
  <c r="A1" i="15"/>
  <c r="H13" i="16"/>
  <c r="H56" i="15" l="1"/>
  <c r="H57" i="15" s="1"/>
  <c r="M45" i="16"/>
  <c r="N58" i="16"/>
  <c r="H30" i="15"/>
  <c r="F32" i="15" s="1"/>
  <c r="H32" i="15" s="1"/>
  <c r="B27" i="16"/>
  <c r="M12" i="16"/>
  <c r="M55" i="16"/>
  <c r="M20" i="16"/>
  <c r="D58" i="15"/>
  <c r="M53" i="16"/>
  <c r="M58" i="16"/>
  <c r="R41" i="16"/>
  <c r="G41" i="16"/>
  <c r="G42" i="16" s="1"/>
  <c r="B31" i="16"/>
  <c r="M49" i="16"/>
  <c r="M54" i="16"/>
  <c r="R39" i="16"/>
  <c r="M43" i="16"/>
  <c r="R36" i="16"/>
  <c r="D56" i="15"/>
  <c r="B56" i="15" s="1"/>
  <c r="KN16" i="17" s="1"/>
  <c r="KO16" i="17" s="1"/>
  <c r="M21" i="16"/>
  <c r="M42" i="16"/>
  <c r="E24" i="15"/>
  <c r="M18" i="16"/>
  <c r="M16" i="16"/>
  <c r="M40" i="16"/>
  <c r="M50" i="16"/>
  <c r="R37" i="16"/>
  <c r="M41" i="16"/>
  <c r="M61" i="16"/>
  <c r="M44" i="16"/>
  <c r="R35" i="16"/>
  <c r="M39" i="16"/>
  <c r="M34" i="16"/>
  <c r="I45" i="15"/>
  <c r="M22" i="16"/>
  <c r="H10" i="15"/>
  <c r="M36" i="16"/>
  <c r="M11" i="16"/>
  <c r="M37" i="16"/>
  <c r="G45" i="15"/>
  <c r="M30" i="16"/>
  <c r="M19" i="16"/>
  <c r="M17" i="16"/>
  <c r="D60" i="15"/>
  <c r="F18" i="15"/>
  <c r="F19" i="15" s="1"/>
  <c r="H19" i="15" s="1"/>
  <c r="H20" i="15" s="1"/>
  <c r="F20" i="15" s="1"/>
  <c r="B9" i="15"/>
  <c r="M57" i="16"/>
  <c r="D61" i="15"/>
  <c r="D59" i="15"/>
  <c r="D57" i="15"/>
  <c r="M38" i="16"/>
  <c r="M60" i="16"/>
  <c r="M56" i="16"/>
  <c r="M35" i="16"/>
  <c r="H39" i="15"/>
  <c r="F41" i="15" s="1"/>
  <c r="F43" i="15" s="1"/>
  <c r="M48" i="16"/>
  <c r="D62" i="15"/>
  <c r="M32" i="16"/>
  <c r="M51" i="16"/>
  <c r="R53" i="16"/>
  <c r="M33" i="16"/>
  <c r="E45" i="15"/>
  <c r="M6" i="16"/>
  <c r="F37" i="16" s="1"/>
  <c r="M15" i="16"/>
  <c r="B6" i="15"/>
  <c r="M59" i="16"/>
  <c r="M14" i="16"/>
  <c r="M52" i="16"/>
  <c r="M31" i="16"/>
  <c r="M13" i="16"/>
  <c r="O52" i="16"/>
  <c r="O15" i="16"/>
  <c r="P53" i="16"/>
  <c r="N37" i="16"/>
  <c r="N60" i="16"/>
  <c r="N59" i="16"/>
  <c r="O12" i="16"/>
  <c r="N51" i="16"/>
  <c r="O56" i="16"/>
  <c r="O59" i="16"/>
  <c r="N10" i="16"/>
  <c r="O53" i="16"/>
  <c r="U53" i="16" s="1"/>
  <c r="N52" i="16"/>
  <c r="O58" i="16"/>
  <c r="O50" i="16"/>
  <c r="N50" i="16"/>
  <c r="O60" i="16"/>
  <c r="O39" i="16"/>
  <c r="U39" i="16" s="1"/>
  <c r="N53" i="16"/>
  <c r="N12" i="16"/>
  <c r="O61" i="16"/>
  <c r="O16" i="16"/>
  <c r="O32" i="16"/>
  <c r="O40" i="16"/>
  <c r="O31" i="16"/>
  <c r="U31" i="16" s="1"/>
  <c r="O38" i="16"/>
  <c r="O13" i="16"/>
  <c r="O36" i="16"/>
  <c r="U36" i="16" s="1"/>
  <c r="N31" i="16"/>
  <c r="O42" i="16"/>
  <c r="O57" i="16"/>
  <c r="O41" i="16"/>
  <c r="U41" i="16" s="1"/>
  <c r="O33" i="16"/>
  <c r="N56" i="16"/>
  <c r="N54" i="16"/>
  <c r="N61" i="16"/>
  <c r="O30" i="16"/>
  <c r="O34" i="16"/>
  <c r="O49" i="16"/>
  <c r="O51" i="16"/>
  <c r="N55" i="16"/>
  <c r="N44" i="16"/>
  <c r="O37" i="16"/>
  <c r="U37" i="16" s="1"/>
  <c r="N57" i="16"/>
  <c r="N49" i="16"/>
  <c r="N36" i="16"/>
  <c r="P39" i="16"/>
  <c r="N48" i="16"/>
  <c r="N34" i="16"/>
  <c r="N43" i="16"/>
  <c r="P36" i="16"/>
  <c r="N40" i="16"/>
  <c r="P35" i="16"/>
  <c r="N35" i="16"/>
  <c r="N39" i="16"/>
  <c r="N30" i="16"/>
  <c r="N38" i="16"/>
  <c r="N33" i="16"/>
  <c r="N42" i="16"/>
  <c r="P41" i="16"/>
  <c r="N41" i="16"/>
  <c r="O44" i="16"/>
  <c r="O48" i="16"/>
  <c r="O55" i="16"/>
  <c r="O43" i="16"/>
  <c r="O35" i="16"/>
  <c r="U35" i="16" s="1"/>
  <c r="O54" i="16"/>
  <c r="P37" i="16"/>
  <c r="N14" i="16"/>
  <c r="O10" i="16"/>
  <c r="N22" i="16"/>
  <c r="O14" i="16"/>
  <c r="N13" i="16"/>
  <c r="O22" i="16"/>
  <c r="N15" i="16"/>
  <c r="N16" i="16"/>
  <c r="F31" i="15" l="1"/>
  <c r="H31" i="15" s="1"/>
  <c r="Q42" i="16"/>
  <c r="V42" i="16" s="1"/>
  <c r="Q33" i="16"/>
  <c r="V33" i="16" s="1"/>
  <c r="H18" i="15"/>
  <c r="Q52" i="16"/>
  <c r="V52" i="16" s="1"/>
  <c r="Q54" i="16"/>
  <c r="V54" i="16" s="1"/>
  <c r="Q58" i="16"/>
  <c r="V58" i="16" s="1"/>
  <c r="Q57" i="16"/>
  <c r="V57" i="16" s="1"/>
  <c r="Q37" i="16"/>
  <c r="V37" i="16" s="1"/>
  <c r="W37" i="16" s="1"/>
  <c r="Q20" i="16"/>
  <c r="Q32" i="16"/>
  <c r="V31" i="16" s="1"/>
  <c r="Q56" i="16"/>
  <c r="V56" i="16" s="1"/>
  <c r="Q12" i="16"/>
  <c r="V12" i="16" s="1"/>
  <c r="Q55" i="16"/>
  <c r="V55" i="16" s="1"/>
  <c r="Q34" i="16"/>
  <c r="V34" i="16" s="1"/>
  <c r="Q14" i="16"/>
  <c r="V14" i="16" s="1"/>
  <c r="Q51" i="16"/>
  <c r="V51" i="16" s="1"/>
  <c r="Q38" i="16"/>
  <c r="V38" i="16" s="1"/>
  <c r="Q22" i="16"/>
  <c r="F22" i="16" s="1"/>
  <c r="Q53" i="16"/>
  <c r="V53" i="16" s="1"/>
  <c r="W53" i="16" s="1"/>
  <c r="Q49" i="16"/>
  <c r="V49" i="16" s="1"/>
  <c r="F40" i="15"/>
  <c r="H40" i="15" s="1"/>
  <c r="Q59" i="16"/>
  <c r="V59" i="16" s="1"/>
  <c r="Q31" i="16"/>
  <c r="Q19" i="16"/>
  <c r="Q50" i="16"/>
  <c r="V50" i="16" s="1"/>
  <c r="Q30" i="16"/>
  <c r="V30" i="16" s="1"/>
  <c r="H41" i="15"/>
  <c r="H43" i="15" s="1"/>
  <c r="Q45" i="16"/>
  <c r="Q15" i="16"/>
  <c r="V15" i="16" s="1"/>
  <c r="Q40" i="16"/>
  <c r="V40" i="16" s="1"/>
  <c r="B57" i="15"/>
  <c r="KN17" i="17" s="1"/>
  <c r="KO17" i="17" s="1"/>
  <c r="B58" i="15" s="1"/>
  <c r="KN18" i="17" s="1"/>
  <c r="Q43" i="16"/>
  <c r="V43" i="16" s="1"/>
  <c r="Q16" i="16"/>
  <c r="V16" i="16" s="1"/>
  <c r="Q44" i="16"/>
  <c r="V44" i="16" s="1"/>
  <c r="Q13" i="16"/>
  <c r="V13" i="16" s="1"/>
  <c r="Q35" i="16"/>
  <c r="V35" i="16" s="1"/>
  <c r="W35" i="16" s="1"/>
  <c r="Q10" i="16"/>
  <c r="F21" i="16" s="1"/>
  <c r="Q61" i="16"/>
  <c r="V61" i="16" s="1"/>
  <c r="Q60" i="16"/>
  <c r="V60" i="16" s="1"/>
  <c r="Q41" i="16"/>
  <c r="V41" i="16" s="1"/>
  <c r="W41" i="16" s="1"/>
  <c r="Q21" i="16"/>
  <c r="Q48" i="16"/>
  <c r="V48" i="16" s="1"/>
  <c r="Q39" i="16"/>
  <c r="V39" i="16" s="1"/>
  <c r="W39" i="16" s="1"/>
  <c r="Q36" i="16"/>
  <c r="V36" i="16" s="1"/>
  <c r="W36" i="16" s="1"/>
  <c r="U13" i="16"/>
  <c r="U38" i="16"/>
  <c r="U59" i="16"/>
  <c r="U14" i="16"/>
  <c r="U55" i="16"/>
  <c r="U51" i="16"/>
  <c r="U40" i="16"/>
  <c r="U60" i="16"/>
  <c r="U54" i="16"/>
  <c r="U43" i="16"/>
  <c r="U33" i="16"/>
  <c r="U56" i="16"/>
  <c r="U48" i="16"/>
  <c r="U49" i="16"/>
  <c r="U57" i="16"/>
  <c r="U12" i="16"/>
  <c r="U52" i="16"/>
  <c r="U10" i="16"/>
  <c r="U44" i="16"/>
  <c r="U34" i="16"/>
  <c r="U42" i="16"/>
  <c r="U50" i="16"/>
  <c r="U58" i="16"/>
  <c r="U22" i="16"/>
  <c r="U30" i="16"/>
  <c r="U61" i="16"/>
  <c r="U6" i="16"/>
  <c r="V6" i="16"/>
  <c r="U15" i="16"/>
  <c r="U16" i="16"/>
  <c r="P14" i="16"/>
  <c r="F34" i="15" l="1"/>
  <c r="H34" i="15" s="1"/>
  <c r="H33" i="15" s="1"/>
  <c r="F33" i="15" s="1"/>
  <c r="V22" i="16"/>
  <c r="W22" i="16" s="1"/>
  <c r="Q18" i="16"/>
  <c r="Q17" i="16"/>
  <c r="F42" i="15"/>
  <c r="H42" i="15" s="1"/>
  <c r="V10" i="16"/>
  <c r="W10" i="16" s="1"/>
  <c r="W52" i="16"/>
  <c r="W51" i="16"/>
  <c r="KO18" i="17"/>
  <c r="B59" i="15" s="1"/>
  <c r="KN19" i="17" s="1"/>
  <c r="W49" i="16"/>
  <c r="W57" i="16"/>
  <c r="W33" i="16"/>
  <c r="W40" i="16"/>
  <c r="W43" i="16"/>
  <c r="W12" i="16"/>
  <c r="W38" i="16"/>
  <c r="W31" i="16"/>
  <c r="W54" i="16"/>
  <c r="W55" i="16"/>
  <c r="W34" i="16"/>
  <c r="W48" i="16"/>
  <c r="W61" i="16"/>
  <c r="W14" i="16"/>
  <c r="W13" i="16"/>
  <c r="W59" i="16"/>
  <c r="W42" i="16"/>
  <c r="W56" i="16"/>
  <c r="W58" i="16"/>
  <c r="W50" i="16"/>
  <c r="W60" i="16"/>
  <c r="W30" i="16"/>
  <c r="W44" i="16"/>
  <c r="W15" i="16"/>
  <c r="W6" i="16"/>
  <c r="W16" i="16"/>
  <c r="KO19" i="17" l="1"/>
  <c r="B60" i="15" s="1"/>
  <c r="KN20" i="17" s="1"/>
  <c r="KO20" i="17" l="1"/>
  <c r="B61" i="15" s="1"/>
  <c r="KN21" i="17" s="1"/>
  <c r="KO21" i="17" s="1"/>
  <c r="B62" i="15" s="1"/>
  <c r="KN22" i="17" s="1"/>
  <c r="KO22" i="17" s="1"/>
  <c r="B63" i="15" s="1"/>
  <c r="B6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McCandlish</author>
  </authors>
  <commentList>
    <comment ref="A49" authorId="0" shapeId="0" xr:uid="{EF2EED29-3D03-4114-8AE0-20AC922D00B6}">
      <text>
        <r>
          <rPr>
            <b/>
            <sz val="10"/>
            <color indexed="16"/>
            <rFont val="Tahoma"/>
            <family val="2"/>
          </rPr>
          <t>Disclaimer:</t>
        </r>
        <r>
          <rPr>
            <sz val="10"/>
            <color indexed="16"/>
            <rFont val="Tahoma"/>
            <family val="2"/>
          </rPr>
          <t xml:space="preserve"> Nutricia North America recommends using a scale that measures in grams for the greatest accuracy for our powdered products. If a scale is not available, the scoops provided with a powdered Nutricia product are validated for that particular product, so are preferable to household measures.</t>
        </r>
        <r>
          <rPr>
            <sz val="9"/>
            <color indexed="16"/>
            <rFont val="Tahoma"/>
            <family val="2"/>
          </rPr>
          <t xml:space="preserve">
   Nutricia does not recommend the use of household measures because they can be less accurate and more variable than scales or the provided scoops due to lack of standardization or validation. Nevertheless, we recognize that customers may ask to use household measures. We provide this calculator for North American healthcare providers, when needed, to help determine appropriate recipes for their clients.
   We provide the approximate weights for our powdered products based on standard, dry household measures. If you advise your clients on using household measures, they should use a set based on a 237- or 240-mL cup size, not 250 mL. Nutricia neither endorses any particular brand of household measures nor accepts liability for the accuracy of individual users’ household measures.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AVERY Ellen</author>
    <author>Robert McCandlish</author>
    <author>MCCANDLISH Robert</author>
  </authors>
  <commentList>
    <comment ref="Y1" authorId="0" shapeId="0" xr:uid="{00EBA32A-8E13-4465-A224-41CD9691664A}">
      <text>
        <r>
          <rPr>
            <b/>
            <sz val="9"/>
            <color indexed="81"/>
            <rFont val="Tahoma"/>
            <family val="2"/>
          </rPr>
          <t>AVERY Ellen:</t>
        </r>
        <r>
          <rPr>
            <sz val="9"/>
            <color indexed="81"/>
            <rFont val="Tahoma"/>
            <family val="2"/>
          </rPr>
          <t xml:space="preserve">
to calculate: calculate a recipe at standard dilution for 100 g powder. Determine amount of water needed minus displacement. Put that value in this cell.</t>
        </r>
      </text>
    </comment>
    <comment ref="BP1" authorId="1" shapeId="0" xr:uid="{00000000-0006-0000-0200-000001000000}">
      <text>
        <r>
          <rPr>
            <b/>
            <sz val="9"/>
            <color indexed="81"/>
            <rFont val="Tahoma"/>
            <family val="2"/>
          </rPr>
          <t>Robert McCandlish:</t>
        </r>
        <r>
          <rPr>
            <sz val="9"/>
            <color indexed="81"/>
            <rFont val="Tahoma"/>
            <family val="2"/>
          </rPr>
          <t xml:space="preserve">
Need to have two separate columns so that Nutra doesn't look like a formula in Method A but can still have number of scoops to provide X grams</t>
        </r>
      </text>
    </comment>
    <comment ref="KM1" authorId="1" shapeId="0" xr:uid="{2924ABBF-C68D-48A6-9B07-D39FD80D6AD1}">
      <text>
        <r>
          <rPr>
            <b/>
            <sz val="9"/>
            <color indexed="81"/>
            <rFont val="Tahoma"/>
            <family val="2"/>
          </rPr>
          <t>Robert McCandlish:</t>
        </r>
        <r>
          <rPr>
            <sz val="9"/>
            <color indexed="81"/>
            <rFont val="Tahoma"/>
            <family val="2"/>
          </rPr>
          <t xml:space="preserve">
This group collapses the DRI information in a block of cells that's ruther down in the sheet</t>
        </r>
      </text>
    </comment>
    <comment ref="AY3" authorId="0" shapeId="0" xr:uid="{73134724-8FD9-4B09-93CD-C384B17A57D4}">
      <text>
        <r>
          <rPr>
            <b/>
            <sz val="9"/>
            <color indexed="81"/>
            <rFont val="Tahoma"/>
            <family val="2"/>
          </rPr>
          <t>AVERY Ellen:</t>
        </r>
        <r>
          <rPr>
            <sz val="9"/>
            <color indexed="81"/>
            <rFont val="Tahoma"/>
            <family val="2"/>
          </rPr>
          <t xml:space="preserve">
adjusted value by 0.1 mg to make it match for 100 kcal value on label. Would still round down to 51.0 for 100 g value</t>
        </r>
      </text>
    </comment>
    <comment ref="BJ3" authorId="1" shapeId="0" xr:uid="{39265C64-44DC-4958-BD57-35957D2559A4}">
      <text>
        <r>
          <rPr>
            <b/>
            <sz val="9"/>
            <color indexed="81"/>
            <rFont val="Tahoma"/>
            <family val="2"/>
          </rPr>
          <t>Robert McCandlish:</t>
        </r>
        <r>
          <rPr>
            <sz val="9"/>
            <color indexed="81"/>
            <rFont val="Tahoma"/>
            <family val="2"/>
          </rPr>
          <t xml:space="preserve">
Adjusted value per 100 g to get as close as possible to  value on label per 67 kcal</t>
        </r>
      </text>
    </comment>
    <comment ref="S4" authorId="1" shapeId="0" xr:uid="{EF0786E1-499B-4C93-AD54-BA23756750B2}">
      <text>
        <r>
          <rPr>
            <b/>
            <sz val="9"/>
            <color indexed="81"/>
            <rFont val="Tahoma"/>
            <family val="2"/>
          </rPr>
          <t>Robert McCandlish:</t>
        </r>
        <r>
          <rPr>
            <sz val="9"/>
            <color indexed="81"/>
            <rFont val="Tahoma"/>
            <family val="2"/>
          </rPr>
          <t xml:space="preserve">
Divided LA label claim by 10 because of 10:1 ratio (see PDS for alternate calculation, slightly lower but very inaccurate)</t>
        </r>
      </text>
    </comment>
    <comment ref="S5" authorId="1" shapeId="0" xr:uid="{6E9A517A-3E04-4F44-816C-BF8BC5FB3412}">
      <text>
        <r>
          <rPr>
            <b/>
            <sz val="9"/>
            <color indexed="81"/>
            <rFont val="Tahoma"/>
            <family val="2"/>
          </rPr>
          <t>Robert McCandlish:</t>
        </r>
        <r>
          <rPr>
            <sz val="9"/>
            <color indexed="81"/>
            <rFont val="Tahoma"/>
            <family val="2"/>
          </rPr>
          <t xml:space="preserve">
Divided LA label claim by 10 because of 10:1 ratio (see PDS for alternate calculation, slightly lower but very inaccurate)</t>
        </r>
      </text>
    </comment>
    <comment ref="S6" authorId="1" shapeId="0" xr:uid="{72F20319-FAC7-4FF2-AD80-7AB34A8BF70D}">
      <text>
        <r>
          <rPr>
            <b/>
            <sz val="9"/>
            <color indexed="81"/>
            <rFont val="Tahoma"/>
            <family val="2"/>
          </rPr>
          <t>Robert McCandlish:</t>
        </r>
        <r>
          <rPr>
            <sz val="9"/>
            <color indexed="81"/>
            <rFont val="Tahoma"/>
            <family val="2"/>
          </rPr>
          <t xml:space="preserve">
Divided LA label claim by 10 because of 10:1 ratio (see PDS for alternate calculation, slightly lower but very inaccurate)</t>
        </r>
      </text>
    </comment>
    <comment ref="V6" authorId="1" shapeId="0" xr:uid="{00000000-0006-0000-0200-00000A000000}">
      <text>
        <r>
          <rPr>
            <b/>
            <sz val="9"/>
            <color indexed="81"/>
            <rFont val="Tahoma"/>
            <family val="2"/>
          </rPr>
          <t>Robert McCandlish:</t>
        </r>
        <r>
          <rPr>
            <sz val="9"/>
            <color indexed="81"/>
            <rFont val="Tahoma"/>
            <family val="2"/>
          </rPr>
          <t xml:space="preserve">
Altered value to match PDS and label per 100 kcal</t>
        </r>
      </text>
    </comment>
    <comment ref="AA6" authorId="1" shapeId="0" xr:uid="{00000000-0006-0000-0200-00000B000000}">
      <text>
        <r>
          <rPr>
            <b/>
            <sz val="9"/>
            <color indexed="81"/>
            <rFont val="Tahoma"/>
            <family val="2"/>
          </rPr>
          <t>Robert McCandlish:</t>
        </r>
        <r>
          <rPr>
            <sz val="9"/>
            <color indexed="81"/>
            <rFont val="Tahoma"/>
            <family val="2"/>
          </rPr>
          <t xml:space="preserve">
Altered value to match PDS and label per 100 kcal</t>
        </r>
      </text>
    </comment>
    <comment ref="AC6" authorId="1" shapeId="0" xr:uid="{00000000-0006-0000-0200-00000C000000}">
      <text>
        <r>
          <rPr>
            <b/>
            <sz val="9"/>
            <color indexed="81"/>
            <rFont val="Tahoma"/>
            <family val="2"/>
          </rPr>
          <t>Robert McCandlish:</t>
        </r>
        <r>
          <rPr>
            <sz val="9"/>
            <color indexed="81"/>
            <rFont val="Tahoma"/>
            <family val="2"/>
          </rPr>
          <t xml:space="preserve">
Altered value to match PDS and label per 100 kcal</t>
        </r>
      </text>
    </comment>
    <comment ref="AX6" authorId="1" shapeId="0" xr:uid="{00000000-0006-0000-0200-00000D000000}">
      <text>
        <r>
          <rPr>
            <b/>
            <sz val="9"/>
            <color indexed="81"/>
            <rFont val="Tahoma"/>
            <family val="2"/>
          </rPr>
          <t>Robert McCandlish:</t>
        </r>
        <r>
          <rPr>
            <sz val="9"/>
            <color indexed="81"/>
            <rFont val="Tahoma"/>
            <family val="2"/>
          </rPr>
          <t xml:space="preserve">
Altered value to match PDS and label per 100 kcal</t>
        </r>
      </text>
    </comment>
    <comment ref="AZ6" authorId="1" shapeId="0" xr:uid="{00000000-0006-0000-0200-00000E000000}">
      <text>
        <r>
          <rPr>
            <b/>
            <sz val="9"/>
            <color indexed="81"/>
            <rFont val="Tahoma"/>
            <family val="2"/>
          </rPr>
          <t>Robert McCandlish:</t>
        </r>
        <r>
          <rPr>
            <sz val="9"/>
            <color indexed="81"/>
            <rFont val="Tahoma"/>
            <family val="2"/>
          </rPr>
          <t xml:space="preserve">
Changed to cover both 100g and 100kcal values on label</t>
        </r>
      </text>
    </comment>
    <comment ref="BI6" authorId="1" shapeId="0" xr:uid="{00000000-0006-0000-0200-00000F000000}">
      <text>
        <r>
          <rPr>
            <b/>
            <sz val="9"/>
            <color indexed="81"/>
            <rFont val="Tahoma"/>
            <family val="2"/>
          </rPr>
          <t>Robert McCandlish:</t>
        </r>
        <r>
          <rPr>
            <sz val="9"/>
            <color indexed="81"/>
            <rFont val="Tahoma"/>
            <family val="2"/>
          </rPr>
          <t xml:space="preserve">
Altered value to match PDS and label per 100 kcal</t>
        </r>
      </text>
    </comment>
    <comment ref="BK6" authorId="1" shapeId="0" xr:uid="{00000000-0006-0000-0200-000010000000}">
      <text>
        <r>
          <rPr>
            <b/>
            <sz val="9"/>
            <color indexed="81"/>
            <rFont val="Tahoma"/>
            <family val="2"/>
          </rPr>
          <t>Robert McCandlish:</t>
        </r>
        <r>
          <rPr>
            <sz val="9"/>
            <color indexed="81"/>
            <rFont val="Tahoma"/>
            <family val="2"/>
          </rPr>
          <t xml:space="preserve">
Altered value to match PDS and label per 100 kcal</t>
        </r>
      </text>
    </comment>
    <comment ref="S7" authorId="1" shapeId="0" xr:uid="{5115ADF3-5F82-44BD-849E-A838056BBCB8}">
      <text>
        <r>
          <rPr>
            <b/>
            <sz val="9"/>
            <color indexed="81"/>
            <rFont val="Tahoma"/>
            <family val="2"/>
          </rPr>
          <t>Robert McCandlish:</t>
        </r>
        <r>
          <rPr>
            <sz val="9"/>
            <color indexed="81"/>
            <rFont val="Tahoma"/>
            <family val="2"/>
          </rPr>
          <t xml:space="preserve">
Divided LA label claim by 10 because of 10:1 ratio (see PDS for alternate calculation, slightly lower but very inaccurate)</t>
        </r>
      </text>
    </comment>
    <comment ref="S8" authorId="1" shapeId="0" xr:uid="{311F90A2-9C1D-4702-998A-EE37E0F656BD}">
      <text>
        <r>
          <rPr>
            <b/>
            <sz val="9"/>
            <color indexed="81"/>
            <rFont val="Tahoma"/>
            <family val="2"/>
          </rPr>
          <t>Robert McCandlish:</t>
        </r>
        <r>
          <rPr>
            <sz val="9"/>
            <color indexed="81"/>
            <rFont val="Tahoma"/>
            <family val="2"/>
          </rPr>
          <t xml:space="preserve">
Divided LA label claim by 10 because of 10:1 ratio (see PDS for alternate calculation, slightly lower but very inaccurate)</t>
        </r>
      </text>
    </comment>
    <comment ref="R10" authorId="1" shapeId="0" xr:uid="{62FB7002-A005-4A6A-9F9A-244D1DAAD552}">
      <text>
        <r>
          <rPr>
            <b/>
            <sz val="9"/>
            <color indexed="81"/>
            <rFont val="Tahoma"/>
            <family val="2"/>
          </rPr>
          <t>Robert McCandlish:</t>
        </r>
        <r>
          <rPr>
            <sz val="9"/>
            <color indexed="81"/>
            <rFont val="Tahoma"/>
            <family val="2"/>
          </rPr>
          <t xml:space="preserve">
Value for 3 flavors only - conditional formatting on the DRI calculator shows a footnote that Unflavored has a different value
6.9 g LA per 100 g FAs:
From first panel of PDS table, grams of FAs per 237 mL total to 11.15 (5.5 S + 4.7 M + 0.95 P, from Unflavored PDS for accuracy...)
Cross-multiply 6.9/100 to X/11.15 = 0.76935 g LA/237 mL, or 769 mg/carton</t>
        </r>
      </text>
    </comment>
    <comment ref="S10" authorId="1" shapeId="0" xr:uid="{14B3D674-C6B6-46BF-8444-289118E410A9}">
      <text>
        <r>
          <rPr>
            <b/>
            <sz val="9"/>
            <color indexed="81"/>
            <rFont val="Tahoma"/>
            <family val="2"/>
          </rPr>
          <t>Robert McCandlish:</t>
        </r>
        <r>
          <rPr>
            <sz val="9"/>
            <color indexed="81"/>
            <rFont val="Tahoma"/>
            <family val="2"/>
          </rPr>
          <t xml:space="preserve">
Value for 3 flavors only, calc'ed from 5:1 ratio to LA - conditional formatting on the DRI calculator shows a footnote that Unflavored has a different value</t>
        </r>
      </text>
    </comment>
    <comment ref="BH11" authorId="0" shapeId="0" xr:uid="{9051FF44-4884-4D50-BDDE-EBF6EF71E5BA}">
      <text>
        <r>
          <rPr>
            <b/>
            <sz val="9"/>
            <color indexed="81"/>
            <rFont val="Tahoma"/>
            <family val="2"/>
          </rPr>
          <t>AVERY Ellen:</t>
        </r>
        <r>
          <rPr>
            <sz val="9"/>
            <color indexed="81"/>
            <rFont val="Tahoma"/>
            <family val="2"/>
          </rPr>
          <t xml:space="preserve">
increased value by 0.02 so 100 kcal value matches. Still rounds to 14.2 per 100 g</t>
        </r>
      </text>
    </comment>
    <comment ref="AX12" authorId="0" shapeId="0" xr:uid="{682D1258-BB7D-4C6C-B8E6-F5F6A055B6EF}">
      <text>
        <r>
          <rPr>
            <b/>
            <sz val="9"/>
            <color indexed="81"/>
            <rFont val="Tahoma"/>
            <family val="2"/>
          </rPr>
          <t>AVERY Ellen:</t>
        </r>
        <r>
          <rPr>
            <sz val="9"/>
            <color indexed="81"/>
            <rFont val="Tahoma"/>
            <family val="2"/>
          </rPr>
          <t xml:space="preserve">
added 0.1 so nutrients per 100 kcals are the same </t>
        </r>
      </text>
    </comment>
    <comment ref="BI12" authorId="0" shapeId="0" xr:uid="{D6D7F348-20CB-403A-9A80-613CC039AF91}">
      <text>
        <r>
          <rPr>
            <b/>
            <sz val="9"/>
            <color indexed="81"/>
            <rFont val="Tahoma"/>
            <family val="2"/>
          </rPr>
          <t>AVERY Ellen:</t>
        </r>
        <r>
          <rPr>
            <sz val="9"/>
            <color indexed="81"/>
            <rFont val="Tahoma"/>
            <family val="2"/>
          </rPr>
          <t xml:space="preserve">
added 0.2 mg so value per 100 kcals was the same </t>
        </r>
      </text>
    </comment>
    <comment ref="BK12" authorId="0" shapeId="0" xr:uid="{BDD9B79B-BAF9-4FD5-A21D-16ECCA3C6152}">
      <text>
        <r>
          <rPr>
            <b/>
            <sz val="9"/>
            <color indexed="81"/>
            <rFont val="Tahoma"/>
            <family val="2"/>
          </rPr>
          <t>AVERY Ellen:</t>
        </r>
        <r>
          <rPr>
            <sz val="9"/>
            <color indexed="81"/>
            <rFont val="Tahoma"/>
            <family val="2"/>
          </rPr>
          <t xml:space="preserve">
added 0.1 mg so value per 100 kcals was the same</t>
        </r>
      </text>
    </comment>
    <comment ref="CC15" authorId="2" shapeId="0" xr:uid="{7E5359C5-4E78-45FC-9BBE-8A443314F746}">
      <text>
        <r>
          <rPr>
            <b/>
            <sz val="9"/>
            <color indexed="81"/>
            <rFont val="Tahoma"/>
            <family val="2"/>
          </rPr>
          <t>MCCANDLISH Robert:</t>
        </r>
        <r>
          <rPr>
            <sz val="9"/>
            <color indexed="81"/>
            <rFont val="Tahoma"/>
            <family val="2"/>
          </rPr>
          <t xml:space="preserve">
Names in these cells also drive the column headings in the tables to the right (helps prevent errors with manual entry: a mismatch can return an error in the calculator)</t>
        </r>
      </text>
    </comment>
    <comment ref="CD16" authorId="1" shapeId="0" xr:uid="{00000000-0006-0000-0200-000012000000}">
      <text>
        <r>
          <rPr>
            <b/>
            <sz val="9"/>
            <color indexed="81"/>
            <rFont val="Tahoma"/>
            <family val="2"/>
          </rPr>
          <t>Robert McCandlish:</t>
        </r>
        <r>
          <rPr>
            <sz val="9"/>
            <color indexed="81"/>
            <rFont val="Tahoma"/>
            <family val="2"/>
          </rPr>
          <t xml:space="preserve">
The numbers in this row and column allow you to sort these columns and rows in the order they appear in the calculator for easier entry</t>
        </r>
      </text>
    </comment>
    <comment ref="CF16" authorId="2" shapeId="0" xr:uid="{CE4275AB-9906-4B35-898F-3A8DD8372B39}">
      <text>
        <r>
          <rPr>
            <b/>
            <sz val="9"/>
            <color indexed="81"/>
            <rFont val="Tahoma"/>
            <family val="2"/>
          </rPr>
          <t>MCCANDLISH Rob:</t>
        </r>
        <r>
          <rPr>
            <sz val="9"/>
            <color indexed="81"/>
            <rFont val="Tahoma"/>
            <family val="2"/>
          </rPr>
          <t xml:space="preserve">
The numbers in this row allow you to sort the nutrients by "logical" chronological order</t>
        </r>
      </text>
    </comment>
    <comment ref="CD18" authorId="2" shapeId="0" xr:uid="{3AB9A988-F139-47CE-901D-9FBA39FE7490}">
      <text>
        <r>
          <rPr>
            <b/>
            <sz val="9"/>
            <color indexed="81"/>
            <rFont val="Tahoma"/>
            <family val="2"/>
          </rPr>
          <t>MCCANDLISH Rob:</t>
        </r>
        <r>
          <rPr>
            <sz val="9"/>
            <color indexed="81"/>
            <rFont val="Tahoma"/>
            <family val="2"/>
          </rPr>
          <t xml:space="preserve">
The numbers in this column allow you to sort the nutrients by order they appear on the label</t>
        </r>
      </text>
    </comment>
    <comment ref="CE18" authorId="2" shapeId="0" xr:uid="{247E5314-3627-46E7-B5D0-2C406524C0D2}">
      <text>
        <r>
          <rPr>
            <b/>
            <sz val="9"/>
            <color indexed="81"/>
            <rFont val="Tahoma"/>
            <family val="2"/>
          </rPr>
          <t>MCCANDLISH Robert:</t>
        </r>
        <r>
          <rPr>
            <sz val="9"/>
            <color indexed="81"/>
            <rFont val="Tahoma"/>
            <family val="2"/>
          </rPr>
          <t xml:space="preserve">
These names are driven by the main Calculator Sheet - if you change the names there, they change here (helps to prevent mismatch errors: if they don't match, VLOOKUP can pull the wrong data)</t>
        </r>
      </text>
    </comment>
    <comment ref="EG18" authorId="2" shapeId="0" xr:uid="{55F0F40B-4815-46E6-8578-53F301A342CF}">
      <text>
        <r>
          <rPr>
            <b/>
            <sz val="9"/>
            <color indexed="81"/>
            <rFont val="Tahoma"/>
            <family val="2"/>
          </rPr>
          <t xml:space="preserve">MCCANDLISH Rob:
</t>
        </r>
        <r>
          <rPr>
            <sz val="9"/>
            <color indexed="81"/>
            <rFont val="Tahoma"/>
            <family val="2"/>
          </rPr>
          <t>The numbers in this column allow you to sort the nutrients by order they appear on the label</t>
        </r>
      </text>
    </comment>
    <comment ref="HJ18" authorId="2" shapeId="0" xr:uid="{4A060A3C-5E88-49A6-BA09-ECD3CD53D8E6}">
      <text>
        <r>
          <rPr>
            <b/>
            <sz val="9"/>
            <color indexed="81"/>
            <rFont val="Tahoma"/>
            <family val="2"/>
          </rPr>
          <t>MCCANDLISH Rob:</t>
        </r>
        <r>
          <rPr>
            <sz val="9"/>
            <color indexed="81"/>
            <rFont val="Tahoma"/>
            <family val="2"/>
          </rPr>
          <t xml:space="preserve">
The numbers in this column allow you to sort the nutrients by order they appear on the label</t>
        </r>
      </text>
    </comment>
    <comment ref="CE23" authorId="2" shapeId="0" xr:uid="{C7664A69-90C9-4D7C-99AF-012CEF345C88}">
      <text>
        <r>
          <rPr>
            <b/>
            <sz val="9"/>
            <color indexed="81"/>
            <rFont val="Tahoma"/>
            <family val="2"/>
          </rPr>
          <t>MCCANDLISH Robert:</t>
        </r>
        <r>
          <rPr>
            <sz val="9"/>
            <color indexed="81"/>
            <rFont val="Tahoma"/>
            <family val="2"/>
          </rPr>
          <t xml:space="preserve">
These names are driven by the main Calculator Sheet - if you change the names there, they change here (helps to prevent mismatch errors: if they don't match, VLOOKUP can pull the wrong data)</t>
        </r>
      </text>
    </comment>
  </commentList>
</comments>
</file>

<file path=xl/sharedStrings.xml><?xml version="1.0" encoding="utf-8"?>
<sst xmlns="http://schemas.openxmlformats.org/spreadsheetml/2006/main" count="2311" uniqueCount="262">
  <si>
    <r>
      <rPr>
        <b/>
        <sz val="19"/>
        <color rgb="FF7030A0"/>
        <rFont val="Lato Heavy"/>
        <family val="2"/>
      </rPr>
      <t>Neocate</t>
    </r>
    <r>
      <rPr>
        <vertAlign val="superscript"/>
        <sz val="19"/>
        <color rgb="FF7030A0"/>
        <rFont val="Lato Heavy"/>
        <family val="2"/>
      </rPr>
      <t xml:space="preserve">® </t>
    </r>
    <r>
      <rPr>
        <sz val="19"/>
        <color rgb="FF7030A0"/>
        <rFont val="Lato Heavy"/>
      </rPr>
      <t>&amp;</t>
    </r>
    <r>
      <rPr>
        <b/>
        <sz val="19"/>
        <color rgb="FF7030A0"/>
        <rFont val="Lato Heavy"/>
        <family val="2"/>
      </rPr>
      <t xml:space="preserve"> Pepticate</t>
    </r>
    <r>
      <rPr>
        <b/>
        <sz val="19"/>
        <color rgb="FF7030A0"/>
        <rFont val="Calibri"/>
        <family val="2"/>
      </rPr>
      <t xml:space="preserve">™ </t>
    </r>
    <r>
      <rPr>
        <b/>
        <sz val="19"/>
        <color rgb="FF7030A0"/>
        <rFont val="Lato Heavy"/>
        <family val="2"/>
      </rPr>
      <t>DRI Calculator</t>
    </r>
  </si>
  <si>
    <t>For Healthcare Professionals
in North America</t>
  </si>
  <si>
    <t>5) Optional, enter intake of nutrients from additional sources, e.g. diet,</t>
  </si>
  <si>
    <t>© 2024 Nutricia North America.
All rights reserved.</t>
  </si>
  <si>
    <t>Our Neocate &amp; Pepticate DRI calculator shows the nutrients Neocate feedings provide. 
By age and gender, it helps you assess how Neocate meets their needs and your goals.</t>
  </si>
  <si>
    <r>
      <rPr>
        <b/>
        <sz val="11"/>
        <color theme="7" tint="-0.249977111117893"/>
        <rFont val="Calibri"/>
        <family val="2"/>
      </rPr>
      <t xml:space="preserve"> ↓ </t>
    </r>
    <r>
      <rPr>
        <b/>
        <sz val="11"/>
        <color theme="7" tint="-0.249977111117893"/>
        <rFont val="Calibri"/>
        <family val="2"/>
        <scheme val="minor"/>
      </rPr>
      <t>below:</t>
    </r>
  </si>
  <si>
    <t>ENERGY</t>
  </si>
  <si>
    <t>Calculated Needs</t>
  </si>
  <si>
    <t>from formla</t>
  </si>
  <si>
    <t>from DIET</t>
  </si>
  <si>
    <t>DIET%</t>
  </si>
  <si>
    <t>FORMULA%</t>
  </si>
  <si>
    <t>TOTAL%</t>
  </si>
  <si>
    <t>Energy</t>
  </si>
  <si>
    <t>kcal</t>
  </si>
  <si>
    <t>%DRI</t>
  </si>
  <si>
    <t>1) Choose the product:</t>
  </si>
  <si>
    <t>MACRONUTRIENTS</t>
  </si>
  <si>
    <t>/100g</t>
  </si>
  <si>
    <t>from formula</t>
  </si>
  <si>
    <t>Neocate® Nutra</t>
  </si>
  <si>
    <t>Protein</t>
  </si>
  <si>
    <t>a</t>
  </si>
  <si>
    <t>g</t>
  </si>
  <si>
    <t>g PE</t>
  </si>
  <si>
    <t>2) Enter the number of calories from formula:</t>
  </si>
  <si>
    <t>Carbohydrate</t>
  </si>
  <si>
    <t>*</t>
  </si>
  <si>
    <t>calories</t>
  </si>
  <si>
    <r>
      <t>Prebiotic Fiber</t>
    </r>
    <r>
      <rPr>
        <b/>
        <sz val="11"/>
        <color theme="6" tint="0.79998168889431442"/>
        <rFont val="Calibri"/>
        <family val="2"/>
        <scheme val="minor"/>
      </rPr>
      <t>‡</t>
    </r>
  </si>
  <si>
    <t>b‡</t>
  </si>
  <si>
    <r>
      <t>Fat</t>
    </r>
    <r>
      <rPr>
        <b/>
        <sz val="11"/>
        <color rgb="FFF9FBF5"/>
        <rFont val="Calibri"/>
        <family val="2"/>
        <scheme val="minor"/>
      </rPr>
      <t>‡</t>
    </r>
  </si>
  <si>
    <t>‡</t>
  </si>
  <si>
    <t>3) Choose a DRI demographic group for comparison:</t>
  </si>
  <si>
    <t>Linoleic Acid</t>
  </si>
  <si>
    <t>†</t>
  </si>
  <si>
    <t>7-12 mo, Female</t>
  </si>
  <si>
    <t>α-Linolenic Acid</t>
  </si>
  <si>
    <t>as LCT</t>
  </si>
  <si>
    <t>-</t>
  </si>
  <si>
    <t>4) Optional, enter kg body weight to calculate key</t>
  </si>
  <si>
    <t>as MCT</t>
  </si>
  <si>
    <t xml:space="preserve">     nutrient intake / kg / day</t>
  </si>
  <si>
    <t>kg</t>
  </si>
  <si>
    <t>DHA</t>
  </si>
  <si>
    <t>mg</t>
  </si>
  <si>
    <t>ARA</t>
  </si>
  <si>
    <t>c</t>
  </si>
  <si>
    <r>
      <t xml:space="preserve">Ash </t>
    </r>
    <r>
      <rPr>
        <sz val="9"/>
        <color theme="1"/>
        <rFont val="Calibri"/>
        <family val="2"/>
        <scheme val="minor"/>
      </rPr>
      <t>(for Canada only)</t>
    </r>
  </si>
  <si>
    <t>Free water</t>
  </si>
  <si>
    <t>mL</t>
  </si>
  <si>
    <t>5) Enter the estimated calorie requirements:</t>
  </si>
  <si>
    <t>Click here  to determine energy requirements based on the updated dietary reference intakes for energy</t>
  </si>
  <si>
    <t xml:space="preserve"> following standard mixing instructions for powders</t>
  </si>
  <si>
    <t>VITAMINS</t>
  </si>
  <si>
    <t>Vitamin A</t>
  </si>
  <si>
    <t>mcg</t>
  </si>
  <si>
    <t>mcg RE</t>
  </si>
  <si>
    <t>Vitamin D</t>
  </si>
  <si>
    <r>
      <t xml:space="preserve">Vitamin D </t>
    </r>
    <r>
      <rPr>
        <i/>
        <sz val="11"/>
        <color rgb="FFF6E7E6"/>
        <rFont val="Calibri"/>
        <family val="2"/>
        <scheme val="minor"/>
      </rPr>
      <t>N/A-IU  .</t>
    </r>
  </si>
  <si>
    <t>IU</t>
  </si>
  <si>
    <t>Vitamin E</t>
  </si>
  <si>
    <t>mg α·TE</t>
  </si>
  <si>
    <t>Vitamin K</t>
  </si>
  <si>
    <r>
      <t>Thiamine (B</t>
    </r>
    <r>
      <rPr>
        <vertAlign val="subscript"/>
        <sz val="11"/>
        <color theme="1"/>
        <rFont val="Calibri"/>
        <family val="2"/>
        <scheme val="minor"/>
      </rPr>
      <t>1</t>
    </r>
    <r>
      <rPr>
        <sz val="10"/>
        <rFont val="Calibri"/>
        <family val="2"/>
        <scheme val="minor"/>
      </rPr>
      <t>)</t>
    </r>
  </si>
  <si>
    <r>
      <t>Riboflavin (B</t>
    </r>
    <r>
      <rPr>
        <vertAlign val="subscript"/>
        <sz val="11"/>
        <color theme="1"/>
        <rFont val="Calibri"/>
        <family val="2"/>
        <scheme val="minor"/>
      </rPr>
      <t>2</t>
    </r>
    <r>
      <rPr>
        <sz val="10"/>
        <rFont val="Calibri"/>
        <family val="2"/>
        <scheme val="minor"/>
      </rPr>
      <t>)</t>
    </r>
  </si>
  <si>
    <r>
      <t>Vitamin B</t>
    </r>
    <r>
      <rPr>
        <vertAlign val="subscript"/>
        <sz val="11"/>
        <color theme="1"/>
        <rFont val="Calibri"/>
        <family val="2"/>
        <scheme val="minor"/>
      </rPr>
      <t>6</t>
    </r>
  </si>
  <si>
    <r>
      <t>Vitamin B</t>
    </r>
    <r>
      <rPr>
        <vertAlign val="subscript"/>
        <sz val="11"/>
        <color theme="1"/>
        <rFont val="Calibri"/>
        <family val="2"/>
        <scheme val="minor"/>
      </rPr>
      <t>12</t>
    </r>
  </si>
  <si>
    <r>
      <t>Niacin (B</t>
    </r>
    <r>
      <rPr>
        <vertAlign val="subscript"/>
        <sz val="11"/>
        <color theme="1"/>
        <rFont val="Calibri"/>
        <family val="2"/>
        <scheme val="minor"/>
      </rPr>
      <t>3</t>
    </r>
    <r>
      <rPr>
        <sz val="10"/>
        <rFont val="Calibri"/>
        <family val="2"/>
        <scheme val="minor"/>
      </rPr>
      <t>)</t>
    </r>
  </si>
  <si>
    <r>
      <t>Folic Acid (B</t>
    </r>
    <r>
      <rPr>
        <vertAlign val="subscript"/>
        <sz val="11"/>
        <color theme="1"/>
        <rFont val="Calibri"/>
        <family val="2"/>
        <scheme val="minor"/>
      </rPr>
      <t>9</t>
    </r>
    <r>
      <rPr>
        <sz val="11"/>
        <color theme="1"/>
        <rFont val="Calibri"/>
        <family val="2"/>
        <scheme val="minor"/>
      </rPr>
      <t>)</t>
    </r>
  </si>
  <si>
    <t>mcg DFE</t>
  </si>
  <si>
    <r>
      <t>Pantothenic Acid (B</t>
    </r>
    <r>
      <rPr>
        <vertAlign val="subscript"/>
        <sz val="11"/>
        <color theme="1"/>
        <rFont val="Calibri"/>
        <family val="2"/>
        <scheme val="minor"/>
      </rPr>
      <t>5</t>
    </r>
    <r>
      <rPr>
        <sz val="10"/>
        <rFont val="Calibri"/>
        <family val="2"/>
        <scheme val="minor"/>
      </rPr>
      <t>)</t>
    </r>
  </si>
  <si>
    <t>cases/month</t>
  </si>
  <si>
    <r>
      <t>Biotin (B</t>
    </r>
    <r>
      <rPr>
        <vertAlign val="subscript"/>
        <sz val="11"/>
        <color theme="1"/>
        <rFont val="Calibri"/>
        <family val="2"/>
        <scheme val="minor"/>
      </rPr>
      <t>7</t>
    </r>
    <r>
      <rPr>
        <sz val="11"/>
        <color theme="1"/>
        <rFont val="Calibri"/>
        <family val="2"/>
        <scheme val="minor"/>
      </rPr>
      <t>)</t>
    </r>
  </si>
  <si>
    <t>31 days/month, rounds up to nearest tenth</t>
  </si>
  <si>
    <t>Vitamin C</t>
  </si>
  <si>
    <r>
      <rPr>
        <b/>
        <sz val="8"/>
        <color theme="1" tint="0.249977111117893"/>
        <rFont val="Calibri"/>
        <family val="2"/>
        <scheme val="minor"/>
      </rPr>
      <t>Vanilla</t>
    </r>
    <r>
      <rPr>
        <sz val="8"/>
        <color theme="1" tint="0.249977111117893"/>
        <rFont val="Calibri"/>
        <family val="2"/>
        <scheme val="minor"/>
      </rPr>
      <t xml:space="preserve"> has 51.4 g CHO/100 g powder; </t>
    </r>
    <r>
      <rPr>
        <b/>
        <sz val="8"/>
        <color theme="1" tint="0.249977111117893"/>
        <rFont val="Calibri"/>
        <family val="2"/>
        <scheme val="minor"/>
      </rPr>
      <t>Strawberry</t>
    </r>
    <r>
      <rPr>
        <sz val="8"/>
        <color theme="1" tint="0.249977111117893"/>
        <rFont val="Calibri"/>
        <family val="2"/>
        <scheme val="minor"/>
      </rPr>
      <t xml:space="preserve"> has 51.5 g CHO/100 g powder.</t>
    </r>
  </si>
  <si>
    <t>Choline</t>
  </si>
  <si>
    <r>
      <t xml:space="preserve">Calculated from most common values: </t>
    </r>
    <r>
      <rPr>
        <b/>
        <sz val="8"/>
        <color theme="1" tint="0.249977111117893"/>
        <rFont val="Calibri"/>
        <family val="2"/>
        <scheme val="minor"/>
      </rPr>
      <t>Unflavored</t>
    </r>
    <r>
      <rPr>
        <sz val="8"/>
        <color theme="1" tint="0.249977111117893"/>
        <rFont val="Calibri"/>
        <family val="2"/>
        <scheme val="minor"/>
      </rPr>
      <t xml:space="preserve"> contains LA 0.69 g and α-LA 0.14 g/carton; </t>
    </r>
    <r>
      <rPr>
        <b/>
        <sz val="8"/>
        <color theme="1" tint="0.249977111117893"/>
        <rFont val="Calibri"/>
        <family val="2"/>
        <scheme val="minor"/>
      </rPr>
      <t>Vanilla</t>
    </r>
    <r>
      <rPr>
        <sz val="8"/>
        <color theme="1" tint="0.249977111117893"/>
        <rFont val="Calibri"/>
        <family val="2"/>
        <scheme val="minor"/>
      </rPr>
      <t xml:space="preserve"> contains 142 mg Sodium per carton.</t>
    </r>
  </si>
  <si>
    <t>Inositol</t>
  </si>
  <si>
    <t>MINERALS</t>
  </si>
  <si>
    <t>a.</t>
  </si>
  <si>
    <t>Values listed are based on reference body weights. PE = Protein equivalent</t>
  </si>
  <si>
    <t>Calcium</t>
  </si>
  <si>
    <t>b.</t>
  </si>
  <si>
    <t>Prebiotic fibers (prebiotics, in Canada) in relevant Neocate products are blends of short- and long-chain fructooligosaccharides. Prebiotic fibers  in Pepticate  are blends of galactooligosaccharides and  fructooligosaccharides. The AI is for dietary (total) fiber.</t>
  </si>
  <si>
    <t>Phosphorus</t>
  </si>
  <si>
    <t>Magnesium</t>
  </si>
  <si>
    <t>c.</t>
  </si>
  <si>
    <t>DRI unit is dietary folate equivalents (DFEs): the %DRI value counts 0.6 mcg of folic acid from Neocate or Pepticate  as 1 mcg DFE, as folic acid is more bioavailable than food folate.</t>
  </si>
  <si>
    <t>Iron</t>
  </si>
  <si>
    <t>Zinc</t>
  </si>
  <si>
    <t>Manganese</t>
  </si>
  <si>
    <t>Copper</t>
  </si>
  <si>
    <t>Iodine</t>
  </si>
  <si>
    <t>DRI values based on the Dietary Reference Intakes series, National Academies of Sciences of the Institute of Medicine: www.nap.edu. Some DRI values vary significantly from 0-6 and 7-12 months, e.g. manganese: 0-6-mo values are based exclusively on content of breast milk - Nutricia supports the use of breast milk wherever possible.</t>
  </si>
  <si>
    <t>Molybdenum</t>
  </si>
  <si>
    <t>Chromium</t>
  </si>
  <si>
    <t>Selenium</t>
  </si>
  <si>
    <r>
      <t xml:space="preserve">Neocate is a family of hypoallergenic, amino acid-based products intended for use under medical supervision, and is indicated for cow milk allergy, multiple food allergies, and related GI/allergic conditions.
</t>
    </r>
    <r>
      <rPr>
        <sz val="9"/>
        <color theme="7" tint="-0.249977111117893"/>
        <rFont val="Calibri"/>
        <family val="2"/>
        <scheme val="minor"/>
      </rPr>
      <t>For US only: Neocate products are medical foods.</t>
    </r>
  </si>
  <si>
    <t>Sodium</t>
  </si>
  <si>
    <t>Potassium</t>
  </si>
  <si>
    <t>Chloride</t>
  </si>
  <si>
    <r>
      <rPr>
        <b/>
        <sz val="9"/>
        <color theme="7"/>
        <rFont val="Calibri"/>
        <family val="2"/>
        <scheme val="minor"/>
      </rPr>
      <t xml:space="preserve">Pepticate™ is a hypoallergenic, extensively hydrolyzed infant formula for use under medical supervision and is indicated for cow milk allergy. </t>
    </r>
    <r>
      <rPr>
        <sz val="9"/>
        <color theme="7"/>
        <rFont val="Calibri"/>
        <family val="2"/>
        <scheme val="minor"/>
      </rPr>
      <t xml:space="preserve">                                                                  For US only: Pepticate is a medical food. </t>
    </r>
  </si>
  <si>
    <t xml:space="preserve">                  Percentages only displayed up to 125%</t>
  </si>
  <si>
    <r>
      <rPr>
        <b/>
        <sz val="10"/>
        <color theme="1" tint="0.34998626667073579"/>
        <rFont val="Calibri"/>
        <family val="2"/>
        <scheme val="minor"/>
      </rPr>
      <t>Gray segments</t>
    </r>
    <r>
      <rPr>
        <sz val="10"/>
        <rFont val="Calibri"/>
        <family val="2"/>
        <scheme val="minor"/>
      </rPr>
      <t>, if displayed, represent % DRI contributed by 
  other dietary sources, and will not display if no value is entered in "in DIET" column, or if DIET columns are hidden.</t>
    </r>
  </si>
  <si>
    <t>‡For fiber, Adequate Intake (AI) levels are not established for infants; for Fat, AI levels are only established for infants.</t>
  </si>
  <si>
    <r>
      <rPr>
        <sz val="20"/>
        <color rgb="FF7030A0"/>
        <rFont val="Lato Heavy"/>
        <family val="2"/>
      </rPr>
      <t xml:space="preserve"> </t>
    </r>
    <r>
      <rPr>
        <b/>
        <sz val="16"/>
        <color rgb="FF7030A0"/>
        <rFont val="Lato Heavy"/>
        <family val="2"/>
      </rPr>
      <t>Neocate</t>
    </r>
    <r>
      <rPr>
        <vertAlign val="superscript"/>
        <sz val="16"/>
        <color rgb="FF7030A0"/>
        <rFont val="Lato Light"/>
        <family val="2"/>
      </rPr>
      <t>®</t>
    </r>
    <r>
      <rPr>
        <b/>
        <sz val="16"/>
        <color rgb="FF7030A0"/>
        <rFont val="Lato Heavy"/>
        <family val="2"/>
      </rPr>
      <t xml:space="preserve"> &amp; Pepticate™ Mixing and Measures Tools</t>
    </r>
    <r>
      <rPr>
        <sz val="16"/>
        <color rgb="FF7030A0"/>
        <rFont val="Lato"/>
        <family val="2"/>
      </rPr>
      <t xml:space="preserve"> -</t>
    </r>
    <r>
      <rPr>
        <sz val="18"/>
        <color rgb="FF7030A0"/>
        <rFont val="Lato"/>
        <family val="2"/>
      </rPr>
      <t xml:space="preserve"> </t>
    </r>
    <r>
      <rPr>
        <sz val="14"/>
        <color rgb="FF7030A0"/>
        <rFont val="Lato"/>
        <family val="2"/>
      </rPr>
      <t>For US Healthcare Professionals</t>
    </r>
    <r>
      <rPr>
        <vertAlign val="superscript"/>
        <sz val="11"/>
        <color rgb="FF7030A0"/>
        <rFont val="Lato"/>
        <family val="2"/>
      </rPr>
      <t>‡</t>
    </r>
  </si>
  <si>
    <t>© 2024 Nutricia North America. All Rights Reserved.</t>
  </si>
  <si>
    <t>1)</t>
  </si>
  <si>
    <t>Choose the Neocate or Pepticate powdered product for your patient or client:</t>
  </si>
  <si>
    <t>Neocate® Junior, Vanilla or Strawberry</t>
  </si>
  <si>
    <t>Calculate a patient's monthly need based on given number of calories per day</t>
  </si>
  <si>
    <t>calories per day</t>
  </si>
  <si>
    <t>2a)</t>
  </si>
  <si>
    <t>Customize a recipe for mixing Neocate or Pepticate powdered formulas:</t>
  </si>
  <si>
    <t xml:space="preserve">     i) Select a Method; enter desired values in 2 bright blue cells; press [enter].
    ii) Values in lower cells generate based on values entered.
   iii) If needed, alter values to tailor a recipe to meet your needs.</t>
  </si>
  <si>
    <t>Method A</t>
  </si>
  <si>
    <t>You choose the concentration and final volume:</t>
  </si>
  <si>
    <t>Desired Concentration</t>
  </si>
  <si>
    <t>kcal/fl oz</t>
  </si>
  <si>
    <r>
      <t xml:space="preserve">For a recipe with a certain final volume, </t>
    </r>
    <r>
      <rPr>
        <sz val="10"/>
        <color rgb="FF7030A0"/>
        <rFont val="Calibri"/>
        <family val="2"/>
      </rPr>
      <t>such as for a tube feeding regimen. Ideal when a scale is available.</t>
    </r>
  </si>
  <si>
    <t xml:space="preserve">Desired Final Volume </t>
  </si>
  <si>
    <t>fl oz*</t>
  </si>
  <si>
    <t>Total Energy Provided</t>
  </si>
  <si>
    <t>Neocate/Pepticate Powder Needed</t>
  </si>
  <si>
    <t>grams</t>
  </si>
  <si>
    <t xml:space="preserve">     Volume Displaced</t>
  </si>
  <si>
    <t>Volume of Water Needed</t>
  </si>
  <si>
    <r>
      <t>fl oz</t>
    </r>
    <r>
      <rPr>
        <sz val="12"/>
        <color rgb="FF7030A0"/>
        <rFont val="Calibri"/>
        <family val="2"/>
      </rPr>
      <t>*</t>
    </r>
  </si>
  <si>
    <t>This calculator translates gram values into scoops, if you prefer grams of powder for Method B or C:</t>
  </si>
  <si>
    <t>Grams Powder</t>
  </si>
  <si>
    <t>Use this value in Method B or C. If you enter multiple decimal points, the exact value you enter will be used in all calculations, although the value will only be displayed to one, rounded decimal point.</t>
  </si>
  <si>
    <t>Method B</t>
  </si>
  <si>
    <t>You choose the concentration and number of scoops:</t>
  </si>
  <si>
    <r>
      <t xml:space="preserve">For a recipe at a certain concentration with scoops, </t>
    </r>
    <r>
      <rPr>
        <sz val="10"/>
        <color rgb="FF7030A0"/>
        <rFont val="Calibri"/>
        <family val="2"/>
      </rPr>
      <t>such as for caregivers. Ideal when a scale is not available. May need to round volume.</t>
    </r>
  </si>
  <si>
    <t>Number of Scoops</t>
  </si>
  <si>
    <t>scoops</t>
  </si>
  <si>
    <t>Approximate Final Volume</t>
  </si>
  <si>
    <t>Method C</t>
  </si>
  <si>
    <t>You choose the volume of water and number of scoops:</t>
  </si>
  <si>
    <t>Volume of water</t>
  </si>
  <si>
    <t>fl oz</t>
  </si>
  <si>
    <r>
      <t xml:space="preserve">For the most caregiver-friendly recipe. </t>
    </r>
    <r>
      <rPr>
        <sz val="10"/>
        <color rgb="FF7030A0"/>
        <rFont val="Calibri"/>
        <family val="2"/>
      </rPr>
      <t>Ideal when concentration and/or final volume are flexible. Alter values to find the best fit.</t>
    </r>
  </si>
  <si>
    <t>Number of scoops</t>
  </si>
  <si>
    <t>Concentration</t>
  </si>
  <si>
    <t>*Fluid ounce values are rounded to the nearest 0.1 fl oz. Milliliter values are more accurate.</t>
  </si>
  <si>
    <t>This tool assumes 1 fl oz = 30 mL</t>
  </si>
  <si>
    <r>
      <rPr>
        <b/>
        <sz val="20"/>
        <color rgb="FF7030A0"/>
        <rFont val="Calibri"/>
        <family val="2"/>
      </rPr>
      <t>Household Measures Calculator</t>
    </r>
    <r>
      <rPr>
        <sz val="20"/>
        <color rgb="FF7030A0"/>
        <rFont val="Calibri"/>
        <family val="2"/>
      </rPr>
      <t xml:space="preserve"> </t>
    </r>
    <r>
      <rPr>
        <sz val="18"/>
        <color rgb="FF7030A0"/>
        <rFont val="Calibri"/>
        <family val="2"/>
      </rPr>
      <t>- For US Healthcare Professionals</t>
    </r>
    <r>
      <rPr>
        <vertAlign val="superscript"/>
        <sz val="18"/>
        <color rgb="FF7030A0"/>
        <rFont val="Calibri"/>
        <family val="2"/>
      </rPr>
      <t>‡</t>
    </r>
  </si>
  <si>
    <r>
      <rPr>
        <sz val="10"/>
        <color rgb="FFFF0000"/>
        <rFont val="Calibri"/>
        <family val="2"/>
      </rPr>
      <t xml:space="preserve">By using this tool, you affirm you've read &amp; accept Nutricia's guidance on use of household measures with our specialized products </t>
    </r>
    <r>
      <rPr>
        <b/>
        <sz val="10"/>
        <color rgb="FFFF0000"/>
        <rFont val="Calibri"/>
        <family val="2"/>
      </rPr>
      <t>(Hover to read)</t>
    </r>
  </si>
  <si>
    <t>2b)</t>
  </si>
  <si>
    <t>Approximate level &amp; unpacked Household Measures for</t>
  </si>
  <si>
    <t>Number of Provided Scoops</t>
  </si>
  <si>
    <t>Amounts Needed</t>
  </si>
  <si>
    <r>
      <t>Measure</t>
    </r>
    <r>
      <rPr>
        <vertAlign val="superscript"/>
        <sz val="12"/>
        <color theme="1"/>
        <rFont val="Calibri"/>
        <family val="2"/>
      </rPr>
      <t>‡</t>
    </r>
  </si>
  <si>
    <r>
      <t>Approximate Weight</t>
    </r>
    <r>
      <rPr>
        <vertAlign val="superscript"/>
        <sz val="12"/>
        <color theme="1"/>
        <rFont val="Calibri"/>
        <family val="2"/>
      </rPr>
      <t>‡</t>
    </r>
  </si>
  <si>
    <r>
      <rPr>
        <b/>
        <sz val="11"/>
        <color indexed="8"/>
        <rFont val="Calibri"/>
        <family val="2"/>
      </rPr>
      <t>1 cup</t>
    </r>
    <r>
      <rPr>
        <sz val="11"/>
        <color theme="1"/>
        <rFont val="Calibri"/>
        <family val="2"/>
      </rPr>
      <t xml:space="preserve"> </t>
    </r>
    <r>
      <rPr>
        <sz val="9"/>
        <color indexed="8"/>
        <rFont val="Calibri"/>
        <family val="2"/>
      </rPr>
      <t>(</t>
    </r>
    <r>
      <rPr>
        <i/>
        <sz val="9"/>
        <color indexed="8"/>
        <rFont val="Calibri"/>
        <family val="2"/>
      </rPr>
      <t>240 mL</t>
    </r>
    <r>
      <rPr>
        <sz val="9"/>
        <color indexed="8"/>
        <rFont val="Calibri"/>
        <family val="2"/>
      </rPr>
      <t>)</t>
    </r>
  </si>
  <si>
    <r>
      <rPr>
        <b/>
        <sz val="11"/>
        <color indexed="8"/>
        <rFont val="Calibri"/>
        <family val="2"/>
      </rPr>
      <t>½ cup</t>
    </r>
    <r>
      <rPr>
        <sz val="11"/>
        <color theme="1"/>
        <rFont val="Calibri"/>
        <family val="2"/>
      </rPr>
      <t xml:space="preserve"> </t>
    </r>
    <r>
      <rPr>
        <sz val="9"/>
        <color indexed="8"/>
        <rFont val="Calibri"/>
        <family val="2"/>
      </rPr>
      <t>(</t>
    </r>
    <r>
      <rPr>
        <i/>
        <sz val="9"/>
        <color indexed="8"/>
        <rFont val="Calibri"/>
        <family val="2"/>
      </rPr>
      <t>120 mL</t>
    </r>
    <r>
      <rPr>
        <sz val="9"/>
        <color indexed="8"/>
        <rFont val="Calibri"/>
        <family val="2"/>
      </rPr>
      <t>)</t>
    </r>
  </si>
  <si>
    <r>
      <rPr>
        <b/>
        <sz val="11"/>
        <color indexed="8"/>
        <rFont val="Calibri"/>
        <family val="2"/>
      </rPr>
      <t>⅓ cup</t>
    </r>
    <r>
      <rPr>
        <sz val="11"/>
        <color theme="1"/>
        <rFont val="Calibri"/>
        <family val="2"/>
      </rPr>
      <t xml:space="preserve"> </t>
    </r>
    <r>
      <rPr>
        <sz val="9"/>
        <color indexed="8"/>
        <rFont val="Calibri"/>
        <family val="2"/>
      </rPr>
      <t>(</t>
    </r>
    <r>
      <rPr>
        <i/>
        <sz val="9"/>
        <color indexed="8"/>
        <rFont val="Calibri"/>
        <family val="2"/>
      </rPr>
      <t>80 mL</t>
    </r>
    <r>
      <rPr>
        <sz val="9"/>
        <color indexed="8"/>
        <rFont val="Calibri"/>
        <family val="2"/>
      </rPr>
      <t>)</t>
    </r>
  </si>
  <si>
    <t>Nutricia North America recommends scoops over household measures for accuracy</t>
  </si>
  <si>
    <r>
      <rPr>
        <b/>
        <sz val="11"/>
        <color indexed="8"/>
        <rFont val="Calibri"/>
        <family val="2"/>
      </rPr>
      <t>¼ cup</t>
    </r>
    <r>
      <rPr>
        <sz val="11"/>
        <color theme="1"/>
        <rFont val="Calibri"/>
        <family val="2"/>
      </rPr>
      <t xml:space="preserve"> </t>
    </r>
    <r>
      <rPr>
        <sz val="9"/>
        <color indexed="8"/>
        <rFont val="Calibri"/>
        <family val="2"/>
      </rPr>
      <t>(</t>
    </r>
    <r>
      <rPr>
        <i/>
        <sz val="9"/>
        <color indexed="8"/>
        <rFont val="Calibri"/>
        <family val="2"/>
      </rPr>
      <t>60 mL</t>
    </r>
    <r>
      <rPr>
        <sz val="9"/>
        <color indexed="8"/>
        <rFont val="Calibri"/>
        <family val="2"/>
      </rPr>
      <t>)</t>
    </r>
  </si>
  <si>
    <r>
      <rPr>
        <b/>
        <sz val="11"/>
        <color indexed="8"/>
        <rFont val="Calibri"/>
        <family val="2"/>
      </rPr>
      <t>1 Tbsp</t>
    </r>
    <r>
      <rPr>
        <sz val="11"/>
        <color theme="1"/>
        <rFont val="Calibri"/>
        <family val="2"/>
      </rPr>
      <t xml:space="preserve"> </t>
    </r>
    <r>
      <rPr>
        <sz val="9"/>
        <color indexed="8"/>
        <rFont val="Calibri"/>
        <family val="2"/>
      </rPr>
      <t>(</t>
    </r>
    <r>
      <rPr>
        <i/>
        <sz val="9"/>
        <color indexed="8"/>
        <rFont val="Calibri"/>
        <family val="2"/>
      </rPr>
      <t>15 mL</t>
    </r>
    <r>
      <rPr>
        <sz val="9"/>
        <color indexed="8"/>
        <rFont val="Calibri"/>
        <family val="2"/>
      </rPr>
      <t>)</t>
    </r>
  </si>
  <si>
    <r>
      <rPr>
        <b/>
        <sz val="11"/>
        <color indexed="8"/>
        <rFont val="Calibri"/>
        <family val="2"/>
      </rPr>
      <t>1 tsp</t>
    </r>
    <r>
      <rPr>
        <sz val="11"/>
        <color theme="1"/>
        <rFont val="Calibri"/>
        <family val="2"/>
      </rPr>
      <t xml:space="preserve"> </t>
    </r>
    <r>
      <rPr>
        <sz val="9"/>
        <color indexed="8"/>
        <rFont val="Calibri"/>
        <family val="2"/>
      </rPr>
      <t>(</t>
    </r>
    <r>
      <rPr>
        <i/>
        <sz val="9"/>
        <color indexed="8"/>
        <rFont val="Calibri"/>
        <family val="2"/>
      </rPr>
      <t>5 mL</t>
    </r>
    <r>
      <rPr>
        <sz val="9"/>
        <color indexed="8"/>
        <rFont val="Calibri"/>
        <family val="2"/>
      </rPr>
      <t>)</t>
    </r>
  </si>
  <si>
    <r>
      <rPr>
        <b/>
        <sz val="11"/>
        <color indexed="8"/>
        <rFont val="Calibri"/>
        <family val="2"/>
      </rPr>
      <t>½ tsp</t>
    </r>
    <r>
      <rPr>
        <sz val="11"/>
        <color theme="1"/>
        <rFont val="Calibri"/>
        <family val="2"/>
      </rPr>
      <t xml:space="preserve"> </t>
    </r>
    <r>
      <rPr>
        <sz val="9"/>
        <color indexed="8"/>
        <rFont val="Calibri"/>
        <family val="2"/>
      </rPr>
      <t>(</t>
    </r>
    <r>
      <rPr>
        <i/>
        <sz val="9"/>
        <color indexed="8"/>
        <rFont val="Calibri"/>
        <family val="2"/>
      </rPr>
      <t>2.5 mL</t>
    </r>
    <r>
      <rPr>
        <sz val="9"/>
        <color indexed="8"/>
        <rFont val="Calibri"/>
        <family val="2"/>
      </rPr>
      <t>)</t>
    </r>
  </si>
  <si>
    <t>= the amount household measures can approximate</t>
  </si>
  <si>
    <t>= the amount household measures can't approximate</t>
  </si>
  <si>
    <t>‡Household measurements are based on standard US, dry household measures. All measures are level and unpacked. These values are approximations only and have been provided for convenience: results can vary significantly based on the individual, device, and method. For patient safety, Nutricia directs caregivers requesting mixing instructions at non-standard dilutions and/or using household measures to their healthcare teams.</t>
  </si>
  <si>
    <t>Neocate is a family of hypoallergenic, amino acid-based products intended for use under medical supervision, and is indicated for cow milk allergy, multiple food allergies, and related GI/allergic conditions.</t>
  </si>
  <si>
    <t xml:space="preserve">Pepticate™ is a hypoallergenic, extensively hydrolyzed infant formula for use under medical supervision and is indicated for cow milk allergy.                     </t>
  </si>
  <si>
    <t>Names</t>
  </si>
  <si>
    <r>
      <rPr>
        <b/>
        <sz val="11"/>
        <color rgb="FFC00000"/>
        <rFont val="Calibri"/>
        <family val="2"/>
        <scheme val="minor"/>
      </rPr>
      <t xml:space="preserve">THESE NAMES MUST EXACTLY MATCH THOSE USED IN OTHER TABLES
</t>
    </r>
    <r>
      <rPr>
        <sz val="11"/>
        <color rgb="FFC00000"/>
        <rFont val="Calibri"/>
        <family val="2"/>
        <scheme val="minor"/>
      </rPr>
      <t>This list drives the drop-down lists for products. Arrange these in the desired order for the drop-down list.</t>
    </r>
  </si>
  <si>
    <t>Names &amp; Descriptions</t>
  </si>
  <si>
    <t>Table across through 'Characteristics' MUST BE SORTED ALPHABETICALLY by product names ACROSS ALL ROWS for LOOKUP function to work. When sorting, keep cells associated by row</t>
  </si>
  <si>
    <t>DON'T Hide or change height or width or images might skew or disappear!</t>
  </si>
  <si>
    <t>Nutrients &amp; DRIs</t>
  </si>
  <si>
    <t>Macros</t>
  </si>
  <si>
    <t>Vitamins</t>
  </si>
  <si>
    <t>unit</t>
  </si>
  <si>
    <t>Minerals</t>
  </si>
  <si>
    <t>Characteristics</t>
  </si>
  <si>
    <t>Density</t>
  </si>
  <si>
    <t>Displacement</t>
  </si>
  <si>
    <t>Scoop volume (for recipes)</t>
  </si>
  <si>
    <t>Scoop volume (for HHM gram wts)</t>
  </si>
  <si>
    <t>kcal/can</t>
  </si>
  <si>
    <r>
      <rPr>
        <b/>
        <sz val="11"/>
        <rFont val="Calibri"/>
        <family val="2"/>
      </rPr>
      <t>1 cup</t>
    </r>
    <r>
      <rPr>
        <sz val="11"/>
        <rFont val="Calibri"/>
        <family val="2"/>
      </rPr>
      <t xml:space="preserve"> </t>
    </r>
    <r>
      <rPr>
        <i/>
        <sz val="11"/>
        <rFont val="Calibri"/>
        <family val="2"/>
      </rPr>
      <t>(240 mL)</t>
    </r>
  </si>
  <si>
    <r>
      <rPr>
        <b/>
        <sz val="11"/>
        <rFont val="Calibri"/>
        <family val="2"/>
      </rPr>
      <t>½ cup</t>
    </r>
    <r>
      <rPr>
        <sz val="11"/>
        <rFont val="Calibri"/>
        <family val="2"/>
      </rPr>
      <t xml:space="preserve"> </t>
    </r>
    <r>
      <rPr>
        <i/>
        <sz val="11"/>
        <rFont val="Calibri"/>
        <family val="2"/>
      </rPr>
      <t>(120 mL)</t>
    </r>
  </si>
  <si>
    <r>
      <rPr>
        <b/>
        <sz val="11"/>
        <rFont val="Calibri"/>
        <family val="2"/>
      </rPr>
      <t>⅓ cup</t>
    </r>
    <r>
      <rPr>
        <sz val="11"/>
        <rFont val="Calibri"/>
        <family val="2"/>
      </rPr>
      <t xml:space="preserve"> </t>
    </r>
    <r>
      <rPr>
        <i/>
        <sz val="11"/>
        <rFont val="Calibri"/>
        <family val="2"/>
      </rPr>
      <t>(80 mL)</t>
    </r>
  </si>
  <si>
    <r>
      <rPr>
        <b/>
        <sz val="11"/>
        <rFont val="Calibri"/>
        <family val="2"/>
      </rPr>
      <t>¼ cup</t>
    </r>
    <r>
      <rPr>
        <sz val="11"/>
        <rFont val="Calibri"/>
        <family val="2"/>
      </rPr>
      <t xml:space="preserve"> </t>
    </r>
    <r>
      <rPr>
        <i/>
        <sz val="11"/>
        <rFont val="Calibri"/>
        <family val="2"/>
      </rPr>
      <t>(60 mL)</t>
    </r>
  </si>
  <si>
    <r>
      <rPr>
        <b/>
        <sz val="11"/>
        <rFont val="Calibri"/>
        <family val="2"/>
      </rPr>
      <t>1 Tbsp</t>
    </r>
    <r>
      <rPr>
        <sz val="11"/>
        <rFont val="Calibri"/>
        <family val="2"/>
      </rPr>
      <t xml:space="preserve"> </t>
    </r>
    <r>
      <rPr>
        <i/>
        <sz val="11"/>
        <rFont val="Calibri"/>
        <family val="2"/>
      </rPr>
      <t>(15 mL)</t>
    </r>
  </si>
  <si>
    <r>
      <rPr>
        <b/>
        <sz val="11"/>
        <rFont val="Calibri"/>
        <family val="2"/>
      </rPr>
      <t>1 tsp</t>
    </r>
    <r>
      <rPr>
        <sz val="11"/>
        <rFont val="Calibri"/>
        <family val="2"/>
      </rPr>
      <t xml:space="preserve"> </t>
    </r>
    <r>
      <rPr>
        <i/>
        <sz val="11"/>
        <rFont val="Calibri"/>
        <family val="2"/>
      </rPr>
      <t>(5 mL)</t>
    </r>
  </si>
  <si>
    <r>
      <rPr>
        <b/>
        <sz val="11"/>
        <rFont val="Calibri"/>
        <family val="2"/>
      </rPr>
      <t>½ tsp</t>
    </r>
    <r>
      <rPr>
        <sz val="11"/>
        <rFont val="Calibri"/>
        <family val="2"/>
      </rPr>
      <t xml:space="preserve"> </t>
    </r>
    <r>
      <rPr>
        <i/>
        <sz val="11"/>
        <rFont val="Calibri"/>
        <family val="2"/>
      </rPr>
      <t>(2.5 mL)</t>
    </r>
  </si>
  <si>
    <t>DRIs</t>
  </si>
  <si>
    <t>This list drives the drop-down list for DRI Groups (see lower rows)</t>
  </si>
  <si>
    <t>Macro</t>
  </si>
  <si>
    <t>(in lower rows, further down sheet)</t>
  </si>
  <si>
    <r>
      <t xml:space="preserve">These calculations feed into the HHMs - don't delete
</t>
    </r>
    <r>
      <rPr>
        <sz val="11"/>
        <color theme="2" tint="-0.749992370372631"/>
        <rFont val="Calibri"/>
        <family val="2"/>
        <scheme val="minor"/>
      </rPr>
      <t>(in lower rows)</t>
    </r>
  </si>
  <si>
    <t>mg α-TE</t>
  </si>
  <si>
    <r>
      <t>Neocate</t>
    </r>
    <r>
      <rPr>
        <sz val="11"/>
        <color theme="1"/>
        <rFont val="Calibri"/>
        <family val="2"/>
      </rPr>
      <t>®</t>
    </r>
    <r>
      <rPr>
        <sz val="11"/>
        <color theme="1"/>
        <rFont val="Calibri"/>
        <family val="2"/>
        <scheme val="minor"/>
      </rPr>
      <t xml:space="preserve"> Syneo</t>
    </r>
    <r>
      <rPr>
        <sz val="11"/>
        <color theme="1"/>
        <rFont val="Calibri"/>
        <family val="2"/>
      </rPr>
      <t>®</t>
    </r>
    <r>
      <rPr>
        <sz val="11"/>
        <color theme="1"/>
        <rFont val="Calibri"/>
        <family val="2"/>
        <scheme val="minor"/>
      </rPr>
      <t xml:space="preserve"> Infant</t>
    </r>
  </si>
  <si>
    <t xml:space="preserve">A nutritionally complete, powdered amino acid-based infant formula containing iron, DHA, ARA and nucleotides. </t>
  </si>
  <si>
    <t>Available in United States (formulation updated 2018) and Canada (launched 2019). Refer to label for directions for preparation and storage and country-specific nutrition information.</t>
  </si>
  <si>
    <t>See below for DRI data - used lower rows so that inserting or deleting a row for a new product doesn't affect DRI data</t>
  </si>
  <si>
    <t>Neocate Infant DHA/ARA</t>
  </si>
  <si>
    <t xml:space="preserve">A nutritionally complete, powdered amino acid-based formula with prebiotic fibers for individuals over the age of 1. </t>
  </si>
  <si>
    <t>Only available in United States - Formula upgraded 2018.
 Refer to label for directions for preparation and storage.</t>
  </si>
  <si>
    <r>
      <t>Pepticate</t>
    </r>
    <r>
      <rPr>
        <sz val="11"/>
        <color theme="1"/>
        <rFont val="Calibri"/>
        <family val="2"/>
      </rPr>
      <t>™</t>
    </r>
    <r>
      <rPr>
        <sz val="11"/>
        <color theme="1"/>
        <rFont val="Calibri"/>
        <family val="2"/>
        <scheme val="minor"/>
      </rPr>
      <t xml:space="preserve"> Infant</t>
    </r>
  </si>
  <si>
    <r>
      <t>Available in United States (formula upgraded 2018) and Canada (updated 2020</t>
    </r>
    <r>
      <rPr>
        <sz val="11"/>
        <rFont val="Calibri"/>
        <family val="2"/>
      </rPr>
      <t xml:space="preserve">). </t>
    </r>
    <r>
      <rPr>
        <sz val="11"/>
        <rFont val="Calibri"/>
        <family val="2"/>
        <scheme val="minor"/>
      </rPr>
      <t>Refer to label for directions for preparation and storage and country-specific nutrition information.</t>
    </r>
  </si>
  <si>
    <t xml:space="preserve">A nutritionally complete, powdered amino acid-based formula for individuals over the age of 1. </t>
  </si>
  <si>
    <r>
      <t>Available in United States (formula upgraded 2018) and Canada (updated 2019</t>
    </r>
    <r>
      <rPr>
        <sz val="11"/>
        <rFont val="Calibri"/>
        <family val="2"/>
      </rPr>
      <t xml:space="preserve">). </t>
    </r>
    <r>
      <rPr>
        <sz val="11"/>
        <rFont val="Calibri"/>
        <family val="2"/>
        <scheme val="minor"/>
      </rPr>
      <t>Refer to label for directions for preparation and storage and country-specific nutrition information.</t>
    </r>
  </si>
  <si>
    <t>Neocate® Splash</t>
  </si>
  <si>
    <t>The first and only amino acid-based semi-solid food for children and infants over 6 months of age. NOTE: Not suitable as sole source of nutrition. Not for bottle or tube feeding.</t>
  </si>
  <si>
    <t>Available in United States and Canada. 
Refer to label for directions for preparation and storage and country-specific nutrition information.</t>
  </si>
  <si>
    <t>Neocate® Junior, Chocolate</t>
  </si>
  <si>
    <t xml:space="preserve">The first and only nutritionally complete, ready-to-feed, hypoallergenic amino acid-based formula for individuals over the age of 1. </t>
  </si>
  <si>
    <t>Available in United States and Canada.
Refer to case label for preparation and storage and country-specific nutrition information.</t>
  </si>
  <si>
    <t>Neocate® Junior, Unflavored (without fiber)</t>
  </si>
  <si>
    <t>A nutritionally complete, powdered amino acid-based infant formula with prebiotics and probiotics specifically designed for infants with food allergies, containing iron and nucleotides.</t>
  </si>
  <si>
    <t>Only available in United States - Fomulation updated April 2018.
(See Neocate infant formula for Canada.) 
Refer to label for directions for preparation and storage.</t>
  </si>
  <si>
    <t>Neocate® Junior, Tropical (discontinued)</t>
  </si>
  <si>
    <t>Neocate® Syneo® Junior</t>
  </si>
  <si>
    <r>
      <t xml:space="preserve">Neocate® Junior, Unflavored w/ Prebiotic Fiber </t>
    </r>
    <r>
      <rPr>
        <sz val="9"/>
        <color theme="1"/>
        <rFont val="Calibri"/>
        <family val="2"/>
        <scheme val="minor"/>
      </rPr>
      <t>(discontinued)</t>
    </r>
  </si>
  <si>
    <t>≤42.0</t>
  </si>
  <si>
    <t>0-6 mo, Female</t>
  </si>
  <si>
    <t>0-6 mo, Male</t>
  </si>
  <si>
    <t>Below Table HAS to be sorted alphabetically both ways - by nutrient name (rows) and by DRI groups (columns) for LOOKUP function to work.</t>
  </si>
  <si>
    <r>
      <t xml:space="preserve">STOP - THE BELOW TABLE` MUST BE SORTED ALPHABETICALLY </t>
    </r>
    <r>
      <rPr>
        <b/>
        <sz val="11"/>
        <rFont val="Calibri"/>
        <family val="2"/>
        <scheme val="minor"/>
      </rPr>
      <t>SEPARATELY left to right by DRI group title and TOP TO BOTTOM by nutrient name!</t>
    </r>
  </si>
  <si>
    <r>
      <t xml:space="preserve">STOP - THE BELOW TABLE MUST BE SORTED ALPHABETICALLY </t>
    </r>
    <r>
      <rPr>
        <b/>
        <sz val="11"/>
        <rFont val="Calibri"/>
        <family val="2"/>
        <scheme val="minor"/>
      </rPr>
      <t>left to right by DRI group title AND top to bottom by nutrient name!</t>
    </r>
  </si>
  <si>
    <t>Sum:</t>
  </si>
  <si>
    <t>Run Sum</t>
  </si>
  <si>
    <t>7-12 mo, Male</t>
  </si>
  <si>
    <t>1-3 yr, Female</t>
  </si>
  <si>
    <t>AI</t>
  </si>
  <si>
    <t>RDA</t>
  </si>
  <si>
    <t>1-3 yr, Male</t>
  </si>
  <si>
    <t>4-8 yr, Female</t>
  </si>
  <si>
    <t>4-8 yr, Male</t>
  </si>
  <si>
    <t>N/A</t>
  </si>
  <si>
    <t>9-13 yr, Female</t>
  </si>
  <si>
    <t>9-13 yr, Male</t>
  </si>
  <si>
    <t>EER</t>
  </si>
  <si>
    <t>14-18 yr, Female</t>
  </si>
  <si>
    <t xml:space="preserve">-     </t>
  </si>
  <si>
    <t>14-18 yr, Male</t>
  </si>
  <si>
    <t>&lt;19 yr, Pregnant</t>
  </si>
  <si>
    <t>&lt;19 yr, Lactating</t>
  </si>
  <si>
    <t>19-30 yr, Female</t>
  </si>
  <si>
    <t>19-30 yr, Male</t>
  </si>
  <si>
    <t>19-30 yr, Pregnant</t>
  </si>
  <si>
    <t>19-30 yr, Lactating</t>
  </si>
  <si>
    <t>31-50 yr, Female</t>
  </si>
  <si>
    <t>31-50 yr, Male</t>
  </si>
  <si>
    <t>31-50 yr, Pregnant</t>
  </si>
  <si>
    <t>31-50 yr, Lactating</t>
  </si>
  <si>
    <t>51-70 yr, Female</t>
  </si>
  <si>
    <t>51-70 yr, Male</t>
  </si>
  <si>
    <t>&gt;70 yr, Female</t>
  </si>
  <si>
    <t>&gt;70 yr, Male</t>
  </si>
  <si>
    <t>A nutritionally complete, extensively hydrolyzed whey protein-based powdered infant formula specifically designed for infants with cow milk allergy, containing a clinically tested blend of prebiotics, lactose, DHA/ARA, and nucleotides.</t>
  </si>
  <si>
    <t>An unflavored, nutritionally complete, hypoallergenic, amino acid-based formula (AAF) with Syneo, a blend of pre- and probiotics, specifically designed for childen 1-10 years of age with food allergies.</t>
  </si>
  <si>
    <t>Only available in United States. Refer to label for directions for preparation and storage.</t>
  </si>
  <si>
    <t>Only available in the United States. Updated in 2024. Refer to label for directions for preparation and storage.</t>
  </si>
  <si>
    <t>sss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</si>
</sst>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64" formatCode="0.0"/>
    <numFmt numFmtId="165" formatCode="&quot;= &quot;0.00&quot; kcal/mL&quot;"/>
    <numFmt numFmtId="166" formatCode="&quot;=&quot;\ 0\ &quot;mL&quot;"/>
    <numFmt numFmtId="167" formatCode="0&quot; g&quot;"/>
    <numFmt numFmtId="168" formatCode="&quot;~&quot;\ 0.0\ &quot;scoop(s)&quot;"/>
    <numFmt numFmtId="169" formatCode="&quot;=&quot;\ 0.0\ &quot;g Neocate powder&quot;"/>
    <numFmt numFmtId="170" formatCode="&quot;Equals &quot;0.00&quot; scoop(s)&quot;"/>
    <numFmt numFmtId="171" formatCode="0.0&quot; g&quot;"/>
    <numFmt numFmtId="172" formatCode="0.0&quot;  &quot;"/>
    <numFmt numFmtId="173" formatCode="&quot;= &quot;0.0&quot; g&quot;"/>
    <numFmt numFmtId="174" formatCode="0\ &quot;half cup&quot;"/>
    <numFmt numFmtId="175" formatCode="0\ &quot;third cup&quot;"/>
    <numFmt numFmtId="176" formatCode="0\ &quot;quarter cup&quot;"/>
    <numFmt numFmtId="177" formatCode="&quot;Equals &quot;0.0&quot; cans/month&quot;"/>
    <numFmt numFmtId="178" formatCode="&quot;(Equals &quot;0.0&quot; cases/month)&quot;"/>
    <numFmt numFmtId="179" formatCode="0.000"/>
    <numFmt numFmtId="180" formatCode="&quot;~&quot;0"/>
    <numFmt numFmtId="181" formatCode="0&quot; DRI&quot;"/>
    <numFmt numFmtId="182" formatCode="&quot;= &quot;0&quot; kJ&quot;"/>
    <numFmt numFmtId="183" formatCode="&quot;Total: &quot;0.0&quot; g&quot;"/>
    <numFmt numFmtId="184" formatCode="&quot;Deficit: &quot;0.0&quot; g&quot;"/>
    <numFmt numFmtId="185" formatCode="0.00&quot; kcal/g&quot;"/>
    <numFmt numFmtId="186" formatCode="0.00&quot; kcal/scoop&quot;"/>
    <numFmt numFmtId="187" formatCode="&quot;~&quot;0.00&quot; mL/g displacement&quot;"/>
    <numFmt numFmtId="188" formatCode="&quot;= ~&quot;0.0\ &quot;scoops&quot;"/>
    <numFmt numFmtId="189" formatCode="&quot;1 scoop =&quot;\ 0.0\ &quot; g&quot;"/>
    <numFmt numFmtId="190" formatCode="&quot;Equals &quot;0.0&quot; scoop(s)&quot;"/>
    <numFmt numFmtId="191" formatCode="&quot;= ~&quot;0&quot; kJ&quot;"/>
    <numFmt numFmtId="192" formatCode="&quot;= &quot;0.00&quot; lb&quot;"/>
    <numFmt numFmtId="193" formatCode="0&quot; kcal/kg/d&quot;"/>
    <numFmt numFmtId="194" formatCode="0&quot; mL free water/kg/d&quot;"/>
    <numFmt numFmtId="195" formatCode="0.00&quot; g protein/kg/d&quot;"/>
    <numFmt numFmtId="196" formatCode="&quot;(1 case = &quot;0&quot; cans)&quot;"/>
    <numFmt numFmtId="197" formatCode="0\ &quot;cups&quot;"/>
    <numFmt numFmtId="198" formatCode="0\ &quot;Tablespoons&quot;"/>
    <numFmt numFmtId="199" formatCode="0\ &quot;teaspoons&quot;"/>
    <numFmt numFmtId="200" formatCode="0\ &quot;half teaspoon&quot;"/>
    <numFmt numFmtId="201" formatCode="0&quot; kcal are provided by&quot;"/>
    <numFmt numFmtId="202" formatCode="0.0\ &quot;grams of powder&quot;"/>
    <numFmt numFmtId="203" formatCode="&quot;Monthly supply needs based on &quot;0&quot; daily calories:&quot;"/>
  </numFmts>
  <fonts count="153">
    <font>
      <sz val="11"/>
      <color theme="1"/>
      <name val="Calibri"/>
      <family val="2"/>
      <scheme val="minor"/>
    </font>
    <font>
      <b/>
      <sz val="11"/>
      <color indexed="8"/>
      <name val="Calibri"/>
      <family val="2"/>
    </font>
    <font>
      <sz val="10"/>
      <name val="Arial"/>
      <family val="2"/>
    </font>
    <font>
      <sz val="10"/>
      <name val="Arial"/>
      <family val="2"/>
    </font>
    <font>
      <i/>
      <sz val="9"/>
      <color indexed="8"/>
      <name val="Calibri"/>
      <family val="2"/>
    </font>
    <font>
      <sz val="11"/>
      <name val="Calibri"/>
      <family val="2"/>
      <scheme val="minor"/>
    </font>
    <font>
      <b/>
      <sz val="12"/>
      <color theme="1"/>
      <name val="Calibri"/>
      <family val="2"/>
    </font>
    <font>
      <sz val="11"/>
      <color theme="0"/>
      <name val="Calibri"/>
      <family val="2"/>
      <scheme val="minor"/>
    </font>
    <font>
      <b/>
      <sz val="12"/>
      <color theme="1"/>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10"/>
      <name val="Calibri"/>
      <family val="2"/>
      <scheme val="minor"/>
    </font>
    <font>
      <sz val="11"/>
      <color theme="1"/>
      <name val="Calibri"/>
      <family val="2"/>
    </font>
    <font>
      <vertAlign val="subscript"/>
      <sz val="11"/>
      <color theme="1"/>
      <name val="Calibri"/>
      <family val="2"/>
      <scheme val="minor"/>
    </font>
    <font>
      <i/>
      <sz val="10"/>
      <color theme="1" tint="0.499984740745262"/>
      <name val="Calibri"/>
      <family val="2"/>
      <scheme val="minor"/>
    </font>
    <font>
      <b/>
      <sz val="11"/>
      <color rgb="FFFF0000"/>
      <name val="Calibri"/>
      <family val="2"/>
      <scheme val="minor"/>
    </font>
    <font>
      <sz val="9"/>
      <color indexed="8"/>
      <name val="Calibri"/>
      <family val="2"/>
    </font>
    <font>
      <sz val="9"/>
      <color rgb="FF7030A0"/>
      <name val="Calibri"/>
      <family val="2"/>
    </font>
    <font>
      <sz val="9"/>
      <color rgb="FF7030A0"/>
      <name val="Calibri"/>
      <family val="2"/>
      <scheme val="minor"/>
    </font>
    <font>
      <sz val="8"/>
      <color theme="1" tint="0.499984740745262"/>
      <name val="Calibri"/>
      <family val="2"/>
      <scheme val="minor"/>
    </font>
    <font>
      <sz val="10"/>
      <name val="Calibri"/>
      <family val="2"/>
    </font>
    <font>
      <sz val="22"/>
      <color rgb="FF7030A0"/>
      <name val="Calibri"/>
      <family val="2"/>
    </font>
    <font>
      <sz val="8"/>
      <color rgb="FF7030A0"/>
      <name val="Calibri"/>
      <family val="2"/>
    </font>
    <font>
      <sz val="11"/>
      <color rgb="FFFF0000"/>
      <name val="Calibri"/>
      <family val="2"/>
    </font>
    <font>
      <b/>
      <sz val="11"/>
      <name val="Calibri"/>
      <family val="2"/>
    </font>
    <font>
      <b/>
      <sz val="14"/>
      <color theme="1"/>
      <name val="Calibri"/>
      <family val="2"/>
    </font>
    <font>
      <b/>
      <sz val="11"/>
      <color theme="1"/>
      <name val="Calibri"/>
      <family val="2"/>
    </font>
    <font>
      <sz val="11"/>
      <color theme="2" tint="-0.89999084444715716"/>
      <name val="Calibri"/>
      <family val="2"/>
    </font>
    <font>
      <b/>
      <i/>
      <sz val="11"/>
      <color theme="2" tint="-0.89999084444715716"/>
      <name val="Calibri"/>
      <family val="2"/>
    </font>
    <font>
      <i/>
      <sz val="10.5"/>
      <color theme="2" tint="-0.89999084444715716"/>
      <name val="Calibri"/>
      <family val="2"/>
    </font>
    <font>
      <sz val="9.5"/>
      <name val="Calibri"/>
      <family val="2"/>
    </font>
    <font>
      <b/>
      <sz val="24"/>
      <color rgb="FFFF3399"/>
      <name val="Calibri"/>
      <family val="2"/>
    </font>
    <font>
      <b/>
      <i/>
      <sz val="11"/>
      <color rgb="FF7030A0"/>
      <name val="Calibri"/>
      <family val="2"/>
    </font>
    <font>
      <sz val="11"/>
      <color rgb="FF7030A0"/>
      <name val="Calibri"/>
      <family val="2"/>
    </font>
    <font>
      <sz val="11"/>
      <name val="Calibri"/>
      <family val="2"/>
    </font>
    <font>
      <i/>
      <sz val="10.5"/>
      <name val="Calibri"/>
      <family val="2"/>
    </font>
    <font>
      <b/>
      <sz val="10"/>
      <color rgb="FF7030A0"/>
      <name val="Calibri"/>
      <family val="2"/>
    </font>
    <font>
      <sz val="11"/>
      <color indexed="8"/>
      <name val="Calibri"/>
      <family val="2"/>
    </font>
    <font>
      <i/>
      <sz val="11"/>
      <color indexed="8"/>
      <name val="Calibri"/>
      <family val="2"/>
    </font>
    <font>
      <b/>
      <sz val="12"/>
      <color rgb="FF7030A0"/>
      <name val="Calibri"/>
      <family val="2"/>
    </font>
    <font>
      <i/>
      <sz val="12"/>
      <color rgb="FF7030A0"/>
      <name val="Calibri"/>
      <family val="2"/>
    </font>
    <font>
      <i/>
      <sz val="11"/>
      <name val="Calibri"/>
      <family val="2"/>
    </font>
    <font>
      <sz val="12"/>
      <color rgb="FF7030A0"/>
      <name val="Calibri"/>
      <family val="2"/>
    </font>
    <font>
      <sz val="10"/>
      <color theme="1"/>
      <name val="Calibri"/>
      <family val="2"/>
    </font>
    <font>
      <i/>
      <sz val="10"/>
      <name val="Calibri"/>
      <family val="2"/>
    </font>
    <font>
      <b/>
      <i/>
      <sz val="10"/>
      <color rgb="FF7030A0"/>
      <name val="Calibri"/>
      <family val="2"/>
    </font>
    <font>
      <b/>
      <sz val="24"/>
      <color theme="4" tint="-0.249977111117893"/>
      <name val="Calibri"/>
      <family val="2"/>
    </font>
    <font>
      <b/>
      <sz val="24"/>
      <color theme="7" tint="-0.249977111117893"/>
      <name val="Calibri"/>
      <family val="2"/>
    </font>
    <font>
      <i/>
      <sz val="11"/>
      <color theme="1"/>
      <name val="Calibri"/>
      <family val="2"/>
    </font>
    <font>
      <i/>
      <sz val="10"/>
      <color theme="1"/>
      <name val="Calibri"/>
      <family val="2"/>
    </font>
    <font>
      <sz val="9"/>
      <name val="Calibri"/>
      <family val="2"/>
    </font>
    <font>
      <b/>
      <sz val="13"/>
      <color theme="1"/>
      <name val="Calibri"/>
      <family val="2"/>
      <scheme val="minor"/>
    </font>
    <font>
      <b/>
      <sz val="12"/>
      <color rgb="FF002060"/>
      <name val="Calibri"/>
      <family val="2"/>
    </font>
    <font>
      <sz val="9"/>
      <name val="Calibri"/>
      <family val="2"/>
      <scheme val="minor"/>
    </font>
    <font>
      <sz val="9"/>
      <color indexed="81"/>
      <name val="Tahoma"/>
      <family val="2"/>
    </font>
    <font>
      <b/>
      <sz val="9"/>
      <color indexed="81"/>
      <name val="Tahoma"/>
      <family val="2"/>
    </font>
    <font>
      <b/>
      <sz val="14"/>
      <color rgb="FF7030A0"/>
      <name val="Calibri"/>
      <family val="2"/>
    </font>
    <font>
      <b/>
      <sz val="16"/>
      <color theme="1"/>
      <name val="Calibri"/>
      <family val="2"/>
      <scheme val="minor"/>
    </font>
    <font>
      <i/>
      <sz val="11"/>
      <name val="Calibri"/>
      <family val="2"/>
      <scheme val="minor"/>
    </font>
    <font>
      <b/>
      <sz val="9"/>
      <name val="Calibri"/>
      <family val="2"/>
      <scheme val="minor"/>
    </font>
    <font>
      <b/>
      <i/>
      <sz val="11"/>
      <name val="Calibri"/>
      <family val="2"/>
    </font>
    <font>
      <sz val="12"/>
      <name val="Calibri"/>
      <family val="2"/>
    </font>
    <font>
      <i/>
      <sz val="11"/>
      <color rgb="FF002060"/>
      <name val="Calibri"/>
      <family val="2"/>
    </font>
    <font>
      <i/>
      <sz val="11"/>
      <color theme="2" tint="-0.89999084444715716"/>
      <name val="Calibri"/>
      <family val="2"/>
    </font>
    <font>
      <b/>
      <sz val="10"/>
      <color rgb="FFFF0000"/>
      <name val="Calibri"/>
      <family val="2"/>
    </font>
    <font>
      <b/>
      <sz val="11"/>
      <color theme="0"/>
      <name val="Calibri"/>
      <family val="2"/>
      <scheme val="minor"/>
    </font>
    <font>
      <sz val="20"/>
      <color rgb="FF7030A0"/>
      <name val="Lato Heavy"/>
      <family val="2"/>
    </font>
    <font>
      <vertAlign val="superscript"/>
      <sz val="16"/>
      <color rgb="FF7030A0"/>
      <name val="Lato Light"/>
      <family val="2"/>
    </font>
    <font>
      <sz val="18"/>
      <color rgb="FF7030A0"/>
      <name val="Lato"/>
      <family val="2"/>
    </font>
    <font>
      <b/>
      <sz val="10"/>
      <color indexed="16"/>
      <name val="Tahoma"/>
      <family val="2"/>
    </font>
    <font>
      <sz val="10"/>
      <color indexed="16"/>
      <name val="Tahoma"/>
      <family val="2"/>
    </font>
    <font>
      <sz val="9"/>
      <color indexed="16"/>
      <name val="Tahoma"/>
      <family val="2"/>
    </font>
    <font>
      <sz val="11"/>
      <color rgb="FFC00000"/>
      <name val="Calibri"/>
      <family val="2"/>
      <scheme val="minor"/>
    </font>
    <font>
      <b/>
      <sz val="11"/>
      <color rgb="FFC00000"/>
      <name val="Calibri"/>
      <family val="2"/>
      <scheme val="minor"/>
    </font>
    <font>
      <b/>
      <sz val="8"/>
      <color theme="1" tint="0.499984740745262"/>
      <name val="Calibri"/>
      <family val="2"/>
      <scheme val="minor"/>
    </font>
    <font>
      <b/>
      <sz val="11"/>
      <color theme="2" tint="-0.749992370372631"/>
      <name val="Calibri"/>
      <family val="2"/>
      <scheme val="minor"/>
    </font>
    <font>
      <b/>
      <sz val="14"/>
      <color rgb="FFFF0000"/>
      <name val="Calibri"/>
      <family val="2"/>
      <scheme val="minor"/>
    </font>
    <font>
      <sz val="8"/>
      <color theme="1"/>
      <name val="Calibri"/>
      <family val="2"/>
      <scheme val="minor"/>
    </font>
    <font>
      <b/>
      <sz val="11"/>
      <color theme="3"/>
      <name val="Calibri"/>
      <family val="2"/>
      <scheme val="minor"/>
    </font>
    <font>
      <sz val="11"/>
      <color rgb="FFFF0000"/>
      <name val="Calibri"/>
      <family val="2"/>
      <scheme val="minor"/>
    </font>
    <font>
      <b/>
      <sz val="14"/>
      <color theme="0"/>
      <name val="Calibri"/>
      <family val="2"/>
      <scheme val="minor"/>
    </font>
    <font>
      <b/>
      <sz val="12"/>
      <color theme="0"/>
      <name val="Calibri"/>
      <family val="2"/>
      <scheme val="minor"/>
    </font>
    <font>
      <sz val="11"/>
      <color theme="2" tint="-0.749992370372631"/>
      <name val="Calibri"/>
      <family val="2"/>
      <scheme val="minor"/>
    </font>
    <font>
      <sz val="10"/>
      <color theme="0"/>
      <name val="Calibri"/>
      <family val="2"/>
      <scheme val="minor"/>
    </font>
    <font>
      <sz val="14"/>
      <color rgb="FF7030A0"/>
      <name val="Lato"/>
      <family val="2"/>
    </font>
    <font>
      <vertAlign val="superscript"/>
      <sz val="11"/>
      <color rgb="FF7030A0"/>
      <name val="Lato"/>
      <family val="2"/>
    </font>
    <font>
      <sz val="10"/>
      <color rgb="FF7030A0"/>
      <name val="Calibri"/>
      <family val="2"/>
    </font>
    <font>
      <sz val="10"/>
      <color rgb="FFFF0000"/>
      <name val="Calibri"/>
      <family val="2"/>
    </font>
    <font>
      <i/>
      <sz val="10"/>
      <color theme="0" tint="-0.34998626667073579"/>
      <name val="Calibri"/>
      <family val="2"/>
    </font>
    <font>
      <sz val="10"/>
      <color theme="1"/>
      <name val="Calibri"/>
      <family val="2"/>
      <scheme val="minor"/>
    </font>
    <font>
      <b/>
      <sz val="9.5"/>
      <color rgb="FF7030A0"/>
      <name val="Calibri"/>
      <family val="2"/>
    </font>
    <font>
      <i/>
      <sz val="9"/>
      <color theme="1"/>
      <name val="Calibri"/>
      <family val="2"/>
    </font>
    <font>
      <sz val="8"/>
      <color theme="1" tint="0.249977111117893"/>
      <name val="Calibri"/>
      <family val="2"/>
      <scheme val="minor"/>
    </font>
    <font>
      <b/>
      <sz val="8"/>
      <color theme="1" tint="0.249977111117893"/>
      <name val="Calibri"/>
      <family val="2"/>
      <scheme val="minor"/>
    </font>
    <font>
      <vertAlign val="superscript"/>
      <sz val="12"/>
      <color theme="1"/>
      <name val="Calibri"/>
      <family val="2"/>
    </font>
    <font>
      <sz val="12"/>
      <color theme="1"/>
      <name val="Calibri"/>
      <family val="2"/>
      <scheme val="minor"/>
    </font>
    <font>
      <sz val="14"/>
      <color theme="1"/>
      <name val="Calibri"/>
      <family val="2"/>
      <scheme val="minor"/>
    </font>
    <font>
      <sz val="11"/>
      <color theme="7" tint="-0.249977111117893"/>
      <name val="Calibri"/>
      <family val="2"/>
      <scheme val="minor"/>
    </font>
    <font>
      <sz val="12"/>
      <color theme="1" tint="0.249977111117893"/>
      <name val="Calibri"/>
      <family val="2"/>
      <scheme val="minor"/>
    </font>
    <font>
      <sz val="9"/>
      <color theme="3"/>
      <name val="Calibri"/>
      <family val="2"/>
      <scheme val="minor"/>
    </font>
    <font>
      <sz val="12"/>
      <color theme="5" tint="-0.499984740745262"/>
      <name val="Calibri"/>
      <family val="2"/>
      <scheme val="minor"/>
    </font>
    <font>
      <sz val="12"/>
      <color theme="3"/>
      <name val="Calibri"/>
      <family val="2"/>
      <scheme val="minor"/>
    </font>
    <font>
      <sz val="22"/>
      <color rgb="FF7030A0"/>
      <name val="Lato Heavy"/>
      <family val="2"/>
    </font>
    <font>
      <b/>
      <sz val="11"/>
      <color rgb="FF7030A0"/>
      <name val="Calibri"/>
      <family val="2"/>
      <scheme val="minor"/>
    </font>
    <font>
      <b/>
      <sz val="12"/>
      <color theme="2" tint="-0.89999084444715716"/>
      <name val="Calibri"/>
      <family val="2"/>
      <scheme val="minor"/>
    </font>
    <font>
      <sz val="9"/>
      <color theme="1" tint="0.499984740745262"/>
      <name val="Calibri"/>
      <family val="2"/>
      <scheme val="minor"/>
    </font>
    <font>
      <sz val="9"/>
      <color theme="1" tint="0.249977111117893"/>
      <name val="Calibri"/>
      <family val="2"/>
      <scheme val="minor"/>
    </font>
    <font>
      <sz val="11"/>
      <color theme="1" tint="0.249977111117893"/>
      <name val="Calibri"/>
      <family val="2"/>
      <scheme val="minor"/>
    </font>
    <font>
      <b/>
      <sz val="11"/>
      <color theme="1" tint="0.249977111117893"/>
      <name val="Calibri"/>
      <family val="2"/>
      <scheme val="minor"/>
    </font>
    <font>
      <b/>
      <sz val="9"/>
      <color theme="7" tint="-0.249977111117893"/>
      <name val="Calibri"/>
      <family val="2"/>
      <scheme val="minor"/>
    </font>
    <font>
      <b/>
      <sz val="12"/>
      <color theme="0"/>
      <name val="Calibri"/>
      <family val="2"/>
    </font>
    <font>
      <b/>
      <sz val="11"/>
      <color rgb="FF7030A0"/>
      <name val="Calibri"/>
      <family val="2"/>
    </font>
    <font>
      <sz val="20"/>
      <color rgb="FF7030A0"/>
      <name val="Calibri"/>
      <family val="2"/>
    </font>
    <font>
      <b/>
      <sz val="20"/>
      <color rgb="FF7030A0"/>
      <name val="Calibri"/>
      <family val="2"/>
    </font>
    <font>
      <sz val="18"/>
      <color rgb="FF7030A0"/>
      <name val="Calibri"/>
      <family val="2"/>
    </font>
    <font>
      <vertAlign val="superscript"/>
      <sz val="18"/>
      <color rgb="FF7030A0"/>
      <name val="Calibri"/>
      <family val="2"/>
    </font>
    <font>
      <sz val="9"/>
      <color theme="1" tint="0.499984740745262"/>
      <name val="Calibri"/>
      <family val="2"/>
    </font>
    <font>
      <sz val="9"/>
      <color theme="7" tint="-0.249977111117893"/>
      <name val="Calibri"/>
      <family val="2"/>
      <scheme val="minor"/>
    </font>
    <font>
      <sz val="9"/>
      <color theme="1"/>
      <name val="Calibri"/>
      <family val="2"/>
      <scheme val="minor"/>
    </font>
    <font>
      <sz val="8.5"/>
      <color theme="0" tint="-0.34998626667073579"/>
      <name val="Calibri"/>
      <family val="2"/>
    </font>
    <font>
      <sz val="12"/>
      <color rgb="FF7030A0"/>
      <name val="Lato"/>
      <family val="2"/>
    </font>
    <font>
      <b/>
      <sz val="12"/>
      <name val="Calibri"/>
      <family val="2"/>
      <scheme val="minor"/>
    </font>
    <font>
      <b/>
      <sz val="10"/>
      <color theme="1"/>
      <name val="Calibri"/>
      <family val="2"/>
      <scheme val="minor"/>
    </font>
    <font>
      <b/>
      <vertAlign val="superscript"/>
      <sz val="11"/>
      <color theme="1" tint="0.249977111117893"/>
      <name val="Calibri"/>
      <family val="2"/>
      <scheme val="minor"/>
    </font>
    <font>
      <sz val="11"/>
      <color theme="6"/>
      <name val="Calibri"/>
      <family val="2"/>
      <scheme val="minor"/>
    </font>
    <font>
      <i/>
      <sz val="11"/>
      <color theme="6"/>
      <name val="Calibri"/>
      <family val="2"/>
      <scheme val="minor"/>
    </font>
    <font>
      <sz val="11"/>
      <color theme="5"/>
      <name val="Calibri"/>
      <family val="2"/>
      <scheme val="minor"/>
    </font>
    <font>
      <sz val="8"/>
      <color theme="0" tint="-0.34998626667073579"/>
      <name val="Calibri"/>
      <family val="2"/>
      <scheme val="minor"/>
    </font>
    <font>
      <sz val="8"/>
      <name val="Calibri"/>
      <family val="2"/>
      <scheme val="minor"/>
    </font>
    <font>
      <b/>
      <sz val="11"/>
      <color theme="6" tint="0.79998168889431442"/>
      <name val="Calibri"/>
      <family val="2"/>
      <scheme val="minor"/>
    </font>
    <font>
      <b/>
      <sz val="11"/>
      <color rgb="FFF9FBF5"/>
      <name val="Calibri"/>
      <family val="2"/>
      <scheme val="minor"/>
    </font>
    <font>
      <b/>
      <vertAlign val="superscript"/>
      <sz val="11"/>
      <color theme="1" tint="0.499984740745262"/>
      <name val="Calibri"/>
      <family val="2"/>
      <scheme val="minor"/>
    </font>
    <font>
      <sz val="11"/>
      <color rgb="FFF6E7E6"/>
      <name val="Calibri"/>
      <family val="2"/>
      <scheme val="minor"/>
    </font>
    <font>
      <i/>
      <sz val="11"/>
      <color rgb="FFF6E7E6"/>
      <name val="Calibri"/>
      <family val="2"/>
      <scheme val="minor"/>
    </font>
    <font>
      <b/>
      <sz val="12"/>
      <color theme="2" tint="-0.749992370372631"/>
      <name val="Calibri"/>
      <family val="2"/>
      <scheme val="minor"/>
    </font>
    <font>
      <sz val="8"/>
      <color theme="2" tint="-0.499984740745262"/>
      <name val="Calibri"/>
      <family val="2"/>
      <scheme val="minor"/>
    </font>
    <font>
      <sz val="12"/>
      <color theme="2" tint="-0.499984740745262"/>
      <name val="Calibri"/>
      <family val="2"/>
      <scheme val="minor"/>
    </font>
    <font>
      <sz val="9"/>
      <color theme="2" tint="-0.499984740745262"/>
      <name val="Calibri"/>
      <family val="2"/>
      <scheme val="minor"/>
    </font>
    <font>
      <b/>
      <sz val="11"/>
      <color theme="7" tint="-0.249977111117893"/>
      <name val="Calibri"/>
      <family val="2"/>
      <scheme val="minor"/>
    </font>
    <font>
      <b/>
      <sz val="11"/>
      <color theme="7" tint="-0.249977111117893"/>
      <name val="Calibri"/>
      <family val="2"/>
    </font>
    <font>
      <b/>
      <sz val="10"/>
      <color theme="1" tint="0.34998626667073579"/>
      <name val="Calibri"/>
      <family val="2"/>
      <scheme val="minor"/>
    </font>
    <font>
      <b/>
      <sz val="9"/>
      <color theme="7"/>
      <name val="Calibri"/>
      <family val="2"/>
      <scheme val="minor"/>
    </font>
    <font>
      <sz val="9"/>
      <color theme="7"/>
      <name val="Calibri"/>
      <family val="2"/>
      <scheme val="minor"/>
    </font>
    <font>
      <b/>
      <sz val="8"/>
      <color theme="0" tint="-0.499984740745262"/>
      <name val="Calibri"/>
      <family val="2"/>
      <scheme val="minor"/>
    </font>
    <font>
      <b/>
      <sz val="16"/>
      <color rgb="FF7030A0"/>
      <name val="Lato Heavy"/>
      <family val="2"/>
    </font>
    <font>
      <sz val="16"/>
      <color rgb="FF7030A0"/>
      <name val="Lato"/>
      <family val="2"/>
    </font>
    <font>
      <u/>
      <sz val="11"/>
      <color theme="10"/>
      <name val="Calibri"/>
      <family val="2"/>
      <scheme val="minor"/>
    </font>
    <font>
      <sz val="19"/>
      <color rgb="FF7030A0"/>
      <name val="Lato Heavy"/>
      <family val="2"/>
    </font>
    <font>
      <b/>
      <sz val="19"/>
      <color rgb="FF7030A0"/>
      <name val="Lato Heavy"/>
      <family val="2"/>
    </font>
    <font>
      <vertAlign val="superscript"/>
      <sz val="19"/>
      <color rgb="FF7030A0"/>
      <name val="Lato Heavy"/>
      <family val="2"/>
    </font>
    <font>
      <sz val="19"/>
      <color rgb="FF7030A0"/>
      <name val="Lato Heavy"/>
    </font>
    <font>
      <b/>
      <sz val="19"/>
      <color rgb="FF7030A0"/>
      <name val="Calibri"/>
      <family val="2"/>
    </font>
  </fonts>
  <fills count="52">
    <fill>
      <patternFill patternType="none"/>
    </fill>
    <fill>
      <patternFill patternType="gray125"/>
    </fill>
    <fill>
      <patternFill patternType="solid">
        <fgColor indexed="9"/>
        <bgColor indexed="24"/>
      </patternFill>
    </fill>
    <fill>
      <patternFill patternType="solid">
        <fgColor theme="0"/>
        <bgColor indexed="64"/>
      </patternFill>
    </fill>
    <fill>
      <patternFill patternType="solid">
        <fgColor theme="0" tint="-0.14999847407452621"/>
        <bgColor indexed="64"/>
      </patternFill>
    </fill>
    <fill>
      <patternFill patternType="solid">
        <fgColor theme="0"/>
        <bgColor indexed="24"/>
      </patternFill>
    </fill>
    <fill>
      <patternFill patternType="solid">
        <fgColor theme="0" tint="-0.14999847407452621"/>
        <bgColor indexed="24"/>
      </patternFill>
    </fill>
    <fill>
      <patternFill patternType="solid">
        <fgColor rgb="FFFFCCFF"/>
        <bgColor indexed="64"/>
      </patternFill>
    </fill>
    <fill>
      <patternFill patternType="solid">
        <fgColor theme="4" tint="0.79998168889431442"/>
        <bgColor indexed="64"/>
      </patternFill>
    </fill>
    <fill>
      <patternFill patternType="solid">
        <fgColor rgb="FFFFE1FF"/>
        <bgColor indexed="64"/>
      </patternFill>
    </fill>
    <fill>
      <patternFill patternType="solid">
        <fgColor rgb="FFEBE7F1"/>
        <bgColor indexed="64"/>
      </patternFill>
    </fill>
    <fill>
      <patternFill patternType="solid">
        <fgColor theme="7" tint="0.79998168889431442"/>
        <bgColor indexed="64"/>
      </patternFill>
    </fill>
    <fill>
      <patternFill patternType="solid">
        <fgColor rgb="FF66FFFF"/>
        <bgColor indexed="64"/>
      </patternFill>
    </fill>
    <fill>
      <patternFill patternType="solid">
        <fgColor rgb="FFC9FFFF"/>
        <bgColor indexed="64"/>
      </patternFill>
    </fill>
    <fill>
      <patternFill patternType="solid">
        <fgColor theme="4" tint="0.59999389629810485"/>
        <bgColor indexed="64"/>
      </patternFill>
    </fill>
    <fill>
      <patternFill patternType="solid">
        <fgColor rgb="FFFFFF00"/>
        <bgColor indexed="64"/>
      </patternFill>
    </fill>
    <fill>
      <patternFill patternType="solid">
        <fgColor rgb="FFD3E0ED"/>
        <bgColor indexed="64"/>
      </patternFill>
    </fill>
    <fill>
      <patternFill patternType="solid">
        <fgColor rgb="FFE1EAF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9" tint="0.79998168889431442"/>
        <bgColor indexed="64"/>
      </patternFill>
    </fill>
    <fill>
      <patternFill patternType="solid">
        <fgColor rgb="FFCDFFFF"/>
        <bgColor indexed="64"/>
      </patternFill>
    </fill>
    <fill>
      <patternFill patternType="solid">
        <fgColor rgb="FFF1EFF5"/>
        <bgColor indexed="64"/>
      </patternFill>
    </fill>
    <fill>
      <patternFill patternType="solid">
        <fgColor rgb="FFCCC0DA"/>
        <bgColor indexed="64"/>
      </patternFill>
    </fill>
    <fill>
      <patternFill patternType="solid">
        <fgColor rgb="FF00B0F0"/>
        <bgColor indexed="64"/>
      </patternFill>
    </fill>
    <fill>
      <patternFill patternType="solid">
        <fgColor rgb="FFFF0000"/>
        <bgColor indexed="64"/>
      </patternFill>
    </fill>
    <fill>
      <patternFill patternType="solid">
        <fgColor rgb="FF00C4BF"/>
        <bgColor indexed="64"/>
      </patternFill>
    </fill>
    <fill>
      <patternFill patternType="solid">
        <fgColor rgb="FFFFC000"/>
        <bgColor indexed="64"/>
      </patternFill>
    </fill>
    <fill>
      <patternFill patternType="solid">
        <fgColor theme="7" tint="-0.249977111117893"/>
        <bgColor indexed="64"/>
      </patternFill>
    </fill>
    <fill>
      <patternFill patternType="solid">
        <fgColor rgb="FFC00000"/>
        <bgColor indexed="64"/>
      </patternFill>
    </fill>
    <fill>
      <patternFill patternType="solid">
        <fgColor theme="7"/>
        <bgColor indexed="64"/>
      </patternFill>
    </fill>
    <fill>
      <patternFill patternType="solid">
        <fgColor rgb="FFFFFFFF"/>
        <bgColor indexed="64"/>
      </patternFill>
    </fill>
    <fill>
      <patternFill patternType="solid">
        <fgColor theme="5" tint="0.39997558519241921"/>
        <bgColor indexed="64"/>
      </patternFill>
    </fill>
    <fill>
      <patternFill patternType="solid">
        <fgColor rgb="FFF6F5F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2F6EA"/>
        <bgColor indexed="64"/>
      </patternFill>
    </fill>
    <fill>
      <patternFill patternType="solid">
        <fgColor rgb="FFDFE9C9"/>
        <bgColor indexed="64"/>
      </patternFill>
    </fill>
    <fill>
      <patternFill patternType="solid">
        <fgColor rgb="FF9BFFFF"/>
        <bgColor indexed="64"/>
      </patternFill>
    </fill>
    <fill>
      <patternFill patternType="solid">
        <fgColor rgb="FFDEDEDE"/>
        <bgColor indexed="64"/>
      </patternFill>
    </fill>
    <fill>
      <patternFill patternType="solid">
        <fgColor rgb="FFF9FBF5"/>
        <bgColor indexed="64"/>
      </patternFill>
    </fill>
    <fill>
      <patternFill patternType="solid">
        <fgColor rgb="FFEBF1F7"/>
        <bgColor indexed="64"/>
      </patternFill>
    </fill>
    <fill>
      <patternFill patternType="solid">
        <fgColor rgb="FFF5F8FB"/>
        <bgColor indexed="64"/>
      </patternFill>
    </fill>
    <fill>
      <patternFill patternType="solid">
        <fgColor rgb="FFF6E7E6"/>
        <bgColor indexed="64"/>
      </patternFill>
    </fill>
    <fill>
      <patternFill patternType="solid">
        <fgColor rgb="FFFAF0F0"/>
        <bgColor indexed="64"/>
      </patternFill>
    </fill>
    <fill>
      <patternFill patternType="solid">
        <fgColor rgb="FFFDF7F7"/>
        <bgColor indexed="64"/>
      </patternFill>
    </fill>
    <fill>
      <patternFill patternType="solid">
        <fgColor rgb="FFCCCCCC"/>
        <bgColor indexed="64"/>
      </patternFill>
    </fill>
    <fill>
      <patternFill patternType="solid">
        <fgColor rgb="FFEEECE1"/>
        <bgColor indexed="64"/>
      </patternFill>
    </fill>
    <fill>
      <patternFill patternType="solid">
        <fgColor theme="8" tint="0.39997558519241921"/>
        <bgColor indexed="64"/>
      </patternFill>
    </fill>
    <fill>
      <patternFill patternType="solid">
        <fgColor theme="8" tint="0.79998168889431442"/>
        <bgColor indexed="64"/>
      </patternFill>
    </fill>
  </fills>
  <borders count="40">
    <border>
      <left/>
      <right/>
      <top/>
      <bottom/>
      <diagonal/>
    </border>
    <border>
      <left style="thin">
        <color indexed="64"/>
      </left>
      <right/>
      <top/>
      <bottom/>
      <diagonal/>
    </border>
    <border>
      <left/>
      <right/>
      <top/>
      <bottom style="thin">
        <color theme="7" tint="-0.24994659260841701"/>
      </bottom>
      <diagonal/>
    </border>
    <border>
      <left/>
      <right/>
      <top/>
      <bottom style="medium">
        <color theme="0"/>
      </bottom>
      <diagonal/>
    </border>
    <border>
      <left style="medium">
        <color theme="0"/>
      </left>
      <right/>
      <top/>
      <bottom/>
      <diagonal/>
    </border>
    <border>
      <left/>
      <right style="thin">
        <color indexed="64"/>
      </right>
      <top/>
      <bottom/>
      <diagonal/>
    </border>
    <border>
      <left style="thin">
        <color theme="7" tint="-0.24994659260841701"/>
      </left>
      <right style="thin">
        <color theme="7" tint="-0.24994659260841701"/>
      </right>
      <top/>
      <bottom style="hair">
        <color theme="7" tint="-0.24994659260841701"/>
      </bottom>
      <diagonal/>
    </border>
    <border>
      <left/>
      <right/>
      <top/>
      <bottom style="hair">
        <color theme="7" tint="-0.24994659260841701"/>
      </bottom>
      <diagonal/>
    </border>
    <border>
      <left style="thin">
        <color theme="7" tint="-0.24994659260841701"/>
      </left>
      <right style="thin">
        <color theme="7" tint="-0.24994659260841701"/>
      </right>
      <top style="hair">
        <color theme="7" tint="-0.24994659260841701"/>
      </top>
      <bottom style="hair">
        <color theme="7" tint="-0.24994659260841701"/>
      </bottom>
      <diagonal/>
    </border>
    <border>
      <left/>
      <right/>
      <top style="hair">
        <color theme="7" tint="-0.24994659260841701"/>
      </top>
      <bottom style="hair">
        <color theme="7" tint="-0.24994659260841701"/>
      </bottom>
      <diagonal/>
    </border>
    <border>
      <left style="thin">
        <color theme="7" tint="-0.24994659260841701"/>
      </left>
      <right style="thin">
        <color theme="7" tint="-0.24994659260841701"/>
      </right>
      <top style="thin">
        <color theme="7" tint="-0.24994659260841701"/>
      </top>
      <bottom style="double">
        <color theme="7" tint="-0.24994659260841701"/>
      </bottom>
      <diagonal/>
    </border>
    <border>
      <left/>
      <right/>
      <top style="thin">
        <color theme="7" tint="-0.24994659260841701"/>
      </top>
      <bottom style="double">
        <color theme="7"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theme="7" tint="-0.24994659260841701"/>
      </right>
      <top style="thin">
        <color theme="7" tint="-0.24994659260841701"/>
      </top>
      <bottom style="double">
        <color theme="7" tint="-0.24994659260841701"/>
      </bottom>
      <diagonal/>
    </border>
    <border>
      <left style="thick">
        <color theme="2" tint="-9.9917600024414813E-2"/>
      </left>
      <right/>
      <top style="thick">
        <color theme="2" tint="-9.9917600024414813E-2"/>
      </top>
      <bottom/>
      <diagonal/>
    </border>
    <border>
      <left/>
      <right/>
      <top style="thick">
        <color theme="2" tint="-9.9917600024414813E-2"/>
      </top>
      <bottom/>
      <diagonal/>
    </border>
    <border>
      <left/>
      <right style="thick">
        <color theme="2" tint="-9.9917600024414813E-2"/>
      </right>
      <top style="thick">
        <color theme="2" tint="-9.9917600024414813E-2"/>
      </top>
      <bottom/>
      <diagonal/>
    </border>
    <border>
      <left style="thick">
        <color theme="2" tint="-9.9917600024414813E-2"/>
      </left>
      <right/>
      <top/>
      <bottom/>
      <diagonal/>
    </border>
    <border>
      <left/>
      <right style="thick">
        <color theme="2" tint="-9.9917600024414813E-2"/>
      </right>
      <top/>
      <bottom/>
      <diagonal/>
    </border>
    <border>
      <left style="thick">
        <color theme="2" tint="-9.9917600024414813E-2"/>
      </left>
      <right/>
      <top/>
      <bottom style="thick">
        <color theme="2" tint="-9.9917600024414813E-2"/>
      </bottom>
      <diagonal/>
    </border>
    <border>
      <left/>
      <right/>
      <top/>
      <bottom style="thick">
        <color theme="2" tint="-9.9917600024414813E-2"/>
      </bottom>
      <diagonal/>
    </border>
    <border>
      <left/>
      <right style="thick">
        <color theme="2" tint="-9.9917600024414813E-2"/>
      </right>
      <top/>
      <bottom style="thick">
        <color theme="2" tint="-9.9917600024414813E-2"/>
      </bottom>
      <diagonal/>
    </border>
    <border>
      <left/>
      <right style="thin">
        <color theme="7" tint="-0.24994659260841701"/>
      </right>
      <top style="hair">
        <color theme="7" tint="-0.24994659260841701"/>
      </top>
      <bottom style="mediumDashed">
        <color theme="7" tint="-0.24994659260841701"/>
      </bottom>
      <diagonal/>
    </border>
    <border>
      <left style="thin">
        <color theme="7" tint="-0.24994659260841701"/>
      </left>
      <right style="thin">
        <color theme="7" tint="-0.24994659260841701"/>
      </right>
      <top style="hair">
        <color theme="7" tint="-0.24994659260841701"/>
      </top>
      <bottom style="medium">
        <color theme="1"/>
      </bottom>
      <diagonal/>
    </border>
    <border>
      <left/>
      <right/>
      <top style="hair">
        <color theme="7" tint="-0.24994659260841701"/>
      </top>
      <bottom style="medium">
        <color theme="1"/>
      </bottom>
      <diagonal/>
    </border>
    <border>
      <left style="medium">
        <color auto="1"/>
      </left>
      <right/>
      <top/>
      <bottom/>
      <diagonal/>
    </border>
    <border>
      <left/>
      <right style="medium">
        <color auto="1"/>
      </right>
      <top/>
      <bottom/>
      <diagonal/>
    </border>
    <border>
      <left/>
      <right/>
      <top style="medium">
        <color theme="3"/>
      </top>
      <bottom/>
      <diagonal/>
    </border>
    <border>
      <left/>
      <right/>
      <top style="medium">
        <color theme="5" tint="-0.24994659260841701"/>
      </top>
      <bottom/>
      <diagonal/>
    </border>
    <border>
      <left/>
      <right/>
      <top style="medium">
        <color theme="6" tint="-0.499984740745262"/>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style="medium">
        <color theme="7"/>
      </right>
      <top/>
      <bottom style="medium">
        <color theme="7"/>
      </bottom>
      <diagonal/>
    </border>
    <border>
      <left/>
      <right/>
      <top style="medium">
        <color theme="7"/>
      </top>
      <bottom/>
      <diagonal/>
    </border>
  </borders>
  <cellStyleXfs count="17">
    <xf numFmtId="0" fontId="0" fillId="0" borderId="0"/>
    <xf numFmtId="0" fontId="2" fillId="0" borderId="0"/>
    <xf numFmtId="0" fontId="3"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1" fillId="0" borderId="0"/>
    <xf numFmtId="0" fontId="2" fillId="0" borderId="0"/>
    <xf numFmtId="0" fontId="2"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47" fillId="0" borderId="0" applyNumberFormat="0" applyFill="0" applyBorder="0" applyAlignment="0" applyProtection="0"/>
  </cellStyleXfs>
  <cellXfs count="563">
    <xf numFmtId="0" fontId="0" fillId="0" borderId="0" xfId="0"/>
    <xf numFmtId="0" fontId="5" fillId="0" borderId="0" xfId="13" applyFont="1"/>
    <xf numFmtId="0" fontId="5" fillId="0" borderId="0" xfId="13" applyFont="1" applyAlignment="1">
      <alignment horizontal="right" wrapText="1"/>
    </xf>
    <xf numFmtId="0" fontId="21" fillId="15" borderId="0" xfId="1" applyFont="1" applyFill="1"/>
    <xf numFmtId="0" fontId="33" fillId="9" borderId="0" xfId="1" applyFont="1" applyFill="1" applyAlignment="1">
      <alignment horizontal="left" vertical="center" wrapText="1"/>
    </xf>
    <xf numFmtId="170" fontId="45" fillId="3" borderId="3" xfId="1" applyNumberFormat="1" applyFont="1" applyFill="1" applyBorder="1" applyAlignment="1">
      <alignment horizontal="center"/>
    </xf>
    <xf numFmtId="0" fontId="44" fillId="3" borderId="0" xfId="0" applyFont="1" applyFill="1" applyAlignment="1">
      <alignment vertical="center"/>
    </xf>
    <xf numFmtId="0" fontId="6" fillId="3" borderId="10" xfId="0" applyFont="1" applyFill="1" applyBorder="1" applyAlignment="1">
      <alignment horizontal="center"/>
    </xf>
    <xf numFmtId="0" fontId="13" fillId="3" borderId="6" xfId="0" applyFont="1" applyFill="1" applyBorder="1" applyAlignment="1">
      <alignment horizontal="center" vertical="center"/>
    </xf>
    <xf numFmtId="0" fontId="13" fillId="3" borderId="8" xfId="0" applyFont="1" applyFill="1" applyBorder="1" applyAlignment="1">
      <alignment horizontal="center" vertical="center"/>
    </xf>
    <xf numFmtId="1" fontId="25" fillId="12" borderId="0" xfId="1" applyNumberFormat="1" applyFont="1" applyFill="1" applyAlignment="1" applyProtection="1">
      <alignment horizontal="center" vertical="center"/>
      <protection locked="0"/>
    </xf>
    <xf numFmtId="164" fontId="25" fillId="12" borderId="0" xfId="1" applyNumberFormat="1" applyFont="1" applyFill="1" applyAlignment="1" applyProtection="1">
      <alignment horizontal="center" vertical="center"/>
      <protection locked="0"/>
    </xf>
    <xf numFmtId="164" fontId="38" fillId="5" borderId="0" xfId="1" applyNumberFormat="1" applyFont="1" applyFill="1" applyAlignment="1">
      <alignment horizontal="right" vertical="center"/>
    </xf>
    <xf numFmtId="164" fontId="38" fillId="5" borderId="0" xfId="1" applyNumberFormat="1" applyFont="1" applyFill="1" applyAlignment="1">
      <alignment horizontal="left" vertical="center"/>
    </xf>
    <xf numFmtId="164" fontId="40" fillId="6" borderId="0" xfId="1" applyNumberFormat="1" applyFont="1" applyFill="1" applyAlignment="1">
      <alignment horizontal="right" vertical="center"/>
    </xf>
    <xf numFmtId="164" fontId="40" fillId="6" borderId="0" xfId="1" applyNumberFormat="1" applyFont="1" applyFill="1" applyAlignment="1">
      <alignment horizontal="left" vertical="center"/>
    </xf>
    <xf numFmtId="164" fontId="13" fillId="6" borderId="0" xfId="1" applyNumberFormat="1" applyFont="1" applyFill="1" applyAlignment="1">
      <alignment horizontal="right" vertical="center"/>
    </xf>
    <xf numFmtId="164" fontId="13" fillId="6" borderId="0" xfId="1" applyNumberFormat="1" applyFont="1" applyFill="1" applyAlignment="1">
      <alignment horizontal="left" vertical="center"/>
    </xf>
    <xf numFmtId="164" fontId="40" fillId="2" borderId="0" xfId="1" applyNumberFormat="1" applyFont="1" applyFill="1" applyAlignment="1">
      <alignment horizontal="right" vertical="center"/>
    </xf>
    <xf numFmtId="164" fontId="40" fillId="2" borderId="0" xfId="1" applyNumberFormat="1" applyFont="1" applyFill="1" applyAlignment="1">
      <alignment horizontal="left" vertical="center"/>
    </xf>
    <xf numFmtId="0" fontId="6" fillId="3" borderId="18" xfId="0" applyFont="1" applyFill="1" applyBorder="1" applyAlignment="1">
      <alignment horizontal="center"/>
    </xf>
    <xf numFmtId="0" fontId="5" fillId="15" borderId="0" xfId="13" applyFont="1" applyFill="1" applyAlignment="1">
      <alignment horizontal="left"/>
    </xf>
    <xf numFmtId="0" fontId="5" fillId="15" borderId="0" xfId="13" applyFont="1" applyFill="1"/>
    <xf numFmtId="0" fontId="5" fillId="0" borderId="0" xfId="13" applyFont="1" applyAlignment="1">
      <alignment horizontal="left"/>
    </xf>
    <xf numFmtId="164" fontId="5" fillId="0" borderId="0" xfId="13" applyNumberFormat="1" applyFont="1"/>
    <xf numFmtId="179" fontId="5" fillId="0" borderId="0" xfId="13" applyNumberFormat="1" applyFont="1"/>
    <xf numFmtId="0" fontId="5" fillId="0" borderId="0" xfId="13" applyFont="1" applyAlignment="1">
      <alignment horizontal="right" vertical="center"/>
    </xf>
    <xf numFmtId="0" fontId="5" fillId="0" borderId="0" xfId="13" applyFont="1" applyAlignment="1">
      <alignment horizontal="left" vertical="center"/>
    </xf>
    <xf numFmtId="1" fontId="5" fillId="0" borderId="0" xfId="13" applyNumberFormat="1" applyFont="1"/>
    <xf numFmtId="0" fontId="10" fillId="0" borderId="0" xfId="13" applyFont="1" applyAlignment="1">
      <alignment wrapText="1"/>
    </xf>
    <xf numFmtId="0" fontId="5" fillId="0" borderId="12" xfId="13" applyFont="1" applyBorder="1"/>
    <xf numFmtId="0" fontId="5" fillId="0" borderId="13" xfId="13" applyFont="1" applyBorder="1"/>
    <xf numFmtId="0" fontId="5" fillId="0" borderId="14" xfId="13" applyFont="1" applyBorder="1"/>
    <xf numFmtId="0" fontId="5" fillId="15" borderId="12" xfId="13" applyFont="1" applyFill="1" applyBorder="1"/>
    <xf numFmtId="0" fontId="5" fillId="0" borderId="13" xfId="13" applyFont="1" applyBorder="1" applyAlignment="1">
      <alignment horizontal="right"/>
    </xf>
    <xf numFmtId="0" fontId="5" fillId="15" borderId="1" xfId="13" applyFont="1" applyFill="1" applyBorder="1"/>
    <xf numFmtId="0" fontId="5" fillId="0" borderId="0" xfId="13" applyFont="1" applyAlignment="1">
      <alignment horizontal="right"/>
    </xf>
    <xf numFmtId="0" fontId="5" fillId="0" borderId="1" xfId="13" applyFont="1" applyBorder="1"/>
    <xf numFmtId="0" fontId="59" fillId="0" borderId="0" xfId="13" applyFont="1"/>
    <xf numFmtId="0" fontId="5" fillId="15" borderId="15" xfId="13" applyFont="1" applyFill="1" applyBorder="1"/>
    <xf numFmtId="0" fontId="5" fillId="0" borderId="16" xfId="13" applyFont="1" applyBorder="1" applyAlignment="1">
      <alignment horizontal="right"/>
    </xf>
    <xf numFmtId="0" fontId="5" fillId="0" borderId="15" xfId="13" applyFont="1" applyBorder="1"/>
    <xf numFmtId="0" fontId="5" fillId="0" borderId="16" xfId="13" applyFont="1" applyBorder="1"/>
    <xf numFmtId="0" fontId="5" fillId="0" borderId="5" xfId="13" applyFont="1" applyBorder="1"/>
    <xf numFmtId="0" fontId="5" fillId="15" borderId="12" xfId="13" applyFont="1" applyFill="1" applyBorder="1" applyAlignment="1">
      <alignment horizontal="right" vertical="center"/>
    </xf>
    <xf numFmtId="0" fontId="5" fillId="0" borderId="13" xfId="13" applyFont="1" applyBorder="1" applyAlignment="1">
      <alignment horizontal="right" vertical="center"/>
    </xf>
    <xf numFmtId="0" fontId="5" fillId="15" borderId="1" xfId="13" applyFont="1" applyFill="1" applyBorder="1" applyAlignment="1">
      <alignment horizontal="right" vertical="center"/>
    </xf>
    <xf numFmtId="0" fontId="5" fillId="15" borderId="15" xfId="13" applyFont="1" applyFill="1" applyBorder="1" applyAlignment="1">
      <alignment horizontal="right" vertical="center"/>
    </xf>
    <xf numFmtId="0" fontId="5" fillId="0" borderId="16" xfId="13" applyFont="1" applyBorder="1" applyAlignment="1">
      <alignment horizontal="right" vertical="center"/>
    </xf>
    <xf numFmtId="0" fontId="5" fillId="0" borderId="17" xfId="13" applyFont="1" applyBorder="1"/>
    <xf numFmtId="0" fontId="60" fillId="0" borderId="1" xfId="13" applyFont="1" applyBorder="1"/>
    <xf numFmtId="0" fontId="60" fillId="0" borderId="0" xfId="13" applyFont="1"/>
    <xf numFmtId="0" fontId="60" fillId="0" borderId="5" xfId="13" applyFont="1" applyBorder="1"/>
    <xf numFmtId="0" fontId="54" fillId="0" borderId="1" xfId="13" applyFont="1" applyBorder="1"/>
    <xf numFmtId="0" fontId="54" fillId="0" borderId="0" xfId="13" applyFont="1"/>
    <xf numFmtId="0" fontId="54" fillId="0" borderId="5" xfId="13" applyFont="1" applyBorder="1"/>
    <xf numFmtId="0" fontId="25" fillId="12" borderId="0" xfId="1" applyFont="1" applyFill="1" applyProtection="1">
      <protection locked="0"/>
    </xf>
    <xf numFmtId="184" fontId="13" fillId="24" borderId="0" xfId="0" applyNumberFormat="1" applyFont="1" applyFill="1" applyAlignment="1">
      <alignment horizontal="center"/>
    </xf>
    <xf numFmtId="2" fontId="5" fillId="0" borderId="0" xfId="13" applyNumberFormat="1" applyFont="1" applyAlignment="1">
      <alignment horizontal="right"/>
    </xf>
    <xf numFmtId="164" fontId="5" fillId="0" borderId="0" xfId="13" applyNumberFormat="1" applyFont="1" applyAlignment="1">
      <alignment horizontal="right"/>
    </xf>
    <xf numFmtId="0" fontId="5" fillId="0" borderId="0" xfId="13" applyFont="1" applyAlignment="1">
      <alignment horizontal="center"/>
    </xf>
    <xf numFmtId="0" fontId="20" fillId="3" borderId="0" xfId="13" applyFont="1" applyFill="1" applyAlignment="1">
      <alignment horizontal="left"/>
    </xf>
    <xf numFmtId="0" fontId="20" fillId="3" borderId="0" xfId="13" applyFont="1" applyFill="1"/>
    <xf numFmtId="0" fontId="20" fillId="3" borderId="0" xfId="13" quotePrefix="1" applyFont="1" applyFill="1" applyAlignment="1">
      <alignment horizontal="left" indent="2"/>
    </xf>
    <xf numFmtId="0" fontId="21" fillId="3" borderId="0" xfId="1" applyFont="1" applyFill="1"/>
    <xf numFmtId="0" fontId="53" fillId="3" borderId="0" xfId="1" applyFont="1" applyFill="1" applyAlignment="1">
      <alignment horizontal="center" vertical="center"/>
    </xf>
    <xf numFmtId="0" fontId="44" fillId="0" borderId="22" xfId="0" applyFont="1" applyBorder="1"/>
    <xf numFmtId="0" fontId="44" fillId="3" borderId="23" xfId="0" applyFont="1" applyFill="1" applyBorder="1" applyAlignment="1">
      <alignment vertical="center"/>
    </xf>
    <xf numFmtId="0" fontId="35" fillId="13" borderId="0" xfId="1" applyFont="1" applyFill="1" applyAlignment="1">
      <alignment horizontal="left" vertical="center"/>
    </xf>
    <xf numFmtId="183" fontId="27" fillId="24" borderId="0" xfId="0" applyNumberFormat="1" applyFont="1" applyFill="1" applyAlignment="1">
      <alignment horizontal="center"/>
    </xf>
    <xf numFmtId="0" fontId="13" fillId="3" borderId="28" xfId="0" applyFont="1" applyFill="1" applyBorder="1" applyAlignment="1">
      <alignment horizontal="center" vertical="center"/>
    </xf>
    <xf numFmtId="0" fontId="23" fillId="3" borderId="0" xfId="1" applyFont="1" applyFill="1" applyAlignment="1">
      <alignment vertical="top"/>
    </xf>
    <xf numFmtId="0" fontId="11" fillId="3" borderId="0" xfId="13" applyFill="1"/>
    <xf numFmtId="0" fontId="0" fillId="3" borderId="0" xfId="13" applyFont="1" applyFill="1"/>
    <xf numFmtId="0" fontId="0" fillId="26" borderId="0" xfId="0" applyFill="1"/>
    <xf numFmtId="0" fontId="11" fillId="26" borderId="0" xfId="13" applyFill="1"/>
    <xf numFmtId="0" fontId="0" fillId="27" borderId="0" xfId="0" applyFill="1"/>
    <xf numFmtId="0" fontId="5" fillId="27" borderId="0" xfId="13" applyFont="1" applyFill="1"/>
    <xf numFmtId="0" fontId="5" fillId="27" borderId="0" xfId="13" applyFont="1" applyFill="1" applyAlignment="1">
      <alignment horizontal="left"/>
    </xf>
    <xf numFmtId="0" fontId="0" fillId="28" borderId="0" xfId="0" applyFill="1"/>
    <xf numFmtId="0" fontId="0" fillId="29" borderId="0" xfId="0" applyFill="1"/>
    <xf numFmtId="0" fontId="16" fillId="29" borderId="0" xfId="13" applyFont="1" applyFill="1" applyAlignment="1">
      <alignment horizontal="center"/>
    </xf>
    <xf numFmtId="0" fontId="35" fillId="0" borderId="0" xfId="1" applyFont="1"/>
    <xf numFmtId="0" fontId="13" fillId="0" borderId="0" xfId="0" applyFont="1"/>
    <xf numFmtId="2" fontId="35" fillId="0" borderId="0" xfId="1" applyNumberFormat="1" applyFont="1"/>
    <xf numFmtId="164" fontId="35" fillId="0" borderId="0" xfId="1" applyNumberFormat="1" applyFont="1"/>
    <xf numFmtId="0" fontId="11" fillId="0" borderId="0" xfId="13"/>
    <xf numFmtId="174" fontId="57" fillId="11" borderId="9" xfId="0" applyNumberFormat="1" applyFont="1" applyFill="1" applyBorder="1" applyAlignment="1">
      <alignment horizontal="center"/>
    </xf>
    <xf numFmtId="175" fontId="57" fillId="11" borderId="9" xfId="0" applyNumberFormat="1" applyFont="1" applyFill="1" applyBorder="1" applyAlignment="1">
      <alignment horizontal="center"/>
    </xf>
    <xf numFmtId="176" fontId="57" fillId="11" borderId="9" xfId="0" applyNumberFormat="1" applyFont="1" applyFill="1" applyBorder="1" applyAlignment="1">
      <alignment horizontal="center"/>
    </xf>
    <xf numFmtId="0" fontId="0" fillId="0" borderId="0" xfId="13" applyFont="1" applyAlignment="1">
      <alignment horizontal="left"/>
    </xf>
    <xf numFmtId="0" fontId="73" fillId="28" borderId="0" xfId="13" applyFont="1" applyFill="1" applyAlignment="1">
      <alignment wrapText="1"/>
    </xf>
    <xf numFmtId="0" fontId="58" fillId="28" borderId="0" xfId="0" applyFont="1" applyFill="1" applyAlignment="1">
      <alignment wrapText="1"/>
    </xf>
    <xf numFmtId="0" fontId="0" fillId="30" borderId="0" xfId="0" applyFill="1"/>
    <xf numFmtId="0" fontId="66" fillId="30" borderId="0" xfId="0" applyFont="1" applyFill="1"/>
    <xf numFmtId="0" fontId="35" fillId="26" borderId="0" xfId="1" applyFont="1" applyFill="1"/>
    <xf numFmtId="0" fontId="35" fillId="26" borderId="0" xfId="1" applyFont="1" applyFill="1" applyAlignment="1">
      <alignment wrapText="1"/>
    </xf>
    <xf numFmtId="0" fontId="35" fillId="26" borderId="0" xfId="0" applyFont="1" applyFill="1"/>
    <xf numFmtId="0" fontId="9" fillId="29" borderId="0" xfId="0" applyFont="1" applyFill="1" applyAlignment="1">
      <alignment wrapText="1"/>
    </xf>
    <xf numFmtId="0" fontId="74" fillId="29" borderId="0" xfId="13" applyFont="1" applyFill="1" applyAlignment="1">
      <alignment horizontal="left" vertical="top" wrapText="1"/>
    </xf>
    <xf numFmtId="0" fontId="9" fillId="27" borderId="30" xfId="0" applyFont="1" applyFill="1" applyBorder="1" applyAlignment="1">
      <alignment wrapText="1"/>
    </xf>
    <xf numFmtId="0" fontId="0" fillId="27" borderId="30" xfId="0" applyFill="1" applyBorder="1"/>
    <xf numFmtId="0" fontId="0" fillId="27" borderId="31" xfId="0" applyFill="1" applyBorder="1"/>
    <xf numFmtId="0" fontId="0" fillId="26" borderId="30" xfId="0" applyFill="1" applyBorder="1"/>
    <xf numFmtId="0" fontId="0" fillId="26" borderId="31" xfId="0" applyFill="1" applyBorder="1"/>
    <xf numFmtId="0" fontId="5" fillId="27" borderId="0" xfId="13" applyFont="1" applyFill="1" applyAlignment="1">
      <alignment wrapText="1"/>
    </xf>
    <xf numFmtId="0" fontId="5" fillId="27" borderId="0" xfId="13" applyFont="1" applyFill="1" applyAlignment="1">
      <alignment horizontal="left" wrapText="1"/>
    </xf>
    <xf numFmtId="0" fontId="5" fillId="22" borderId="0" xfId="13" applyFont="1" applyFill="1" applyAlignment="1">
      <alignment horizontal="right" wrapText="1"/>
    </xf>
    <xf numFmtId="0" fontId="0" fillId="22" borderId="0" xfId="13" applyFont="1" applyFill="1" applyAlignment="1">
      <alignment horizontal="right" wrapText="1"/>
    </xf>
    <xf numFmtId="49" fontId="11" fillId="0" borderId="0" xfId="13" applyNumberFormat="1"/>
    <xf numFmtId="49" fontId="0" fillId="0" borderId="0" xfId="13" applyNumberFormat="1" applyFont="1"/>
    <xf numFmtId="0" fontId="0" fillId="33" borderId="0" xfId="13" applyFont="1" applyFill="1"/>
    <xf numFmtId="0" fontId="0" fillId="27" borderId="0" xfId="0" applyFill="1" applyAlignment="1">
      <alignment wrapText="1"/>
    </xf>
    <xf numFmtId="0" fontId="23" fillId="3" borderId="0" xfId="1" applyFont="1" applyFill="1" applyAlignment="1">
      <alignment horizontal="right" vertical="top"/>
    </xf>
    <xf numFmtId="0" fontId="78" fillId="0" borderId="0" xfId="0" applyFont="1"/>
    <xf numFmtId="49" fontId="5" fillId="0" borderId="0" xfId="13" applyNumberFormat="1" applyFont="1" applyAlignment="1">
      <alignment horizontal="left"/>
    </xf>
    <xf numFmtId="0" fontId="0" fillId="30" borderId="30" xfId="0" applyFill="1" applyBorder="1"/>
    <xf numFmtId="0" fontId="76" fillId="27" borderId="0" xfId="13" applyFont="1" applyFill="1" applyAlignment="1">
      <alignment horizontal="center" vertical="top" wrapText="1"/>
    </xf>
    <xf numFmtId="0" fontId="84" fillId="30" borderId="0" xfId="0" applyFont="1" applyFill="1" applyAlignment="1">
      <alignment vertical="top" wrapText="1"/>
    </xf>
    <xf numFmtId="0" fontId="8" fillId="14" borderId="0" xfId="13" applyFont="1" applyFill="1" applyAlignment="1">
      <alignment horizontal="left"/>
    </xf>
    <xf numFmtId="0" fontId="16" fillId="15" borderId="0" xfId="13" applyFont="1" applyFill="1" applyAlignment="1">
      <alignment horizontal="left" wrapText="1"/>
    </xf>
    <xf numFmtId="0" fontId="24" fillId="3" borderId="0" xfId="1" applyFont="1" applyFill="1"/>
    <xf numFmtId="1" fontId="35" fillId="23" borderId="0" xfId="1" applyNumberFormat="1" applyFont="1" applyFill="1" applyAlignment="1">
      <alignment horizontal="left" vertical="center"/>
    </xf>
    <xf numFmtId="164" fontId="35" fillId="23" borderId="0" xfId="1" applyNumberFormat="1" applyFont="1" applyFill="1" applyAlignment="1">
      <alignment horizontal="left" vertical="center"/>
    </xf>
    <xf numFmtId="0" fontId="10" fillId="20" borderId="0" xfId="13" applyFont="1" applyFill="1"/>
    <xf numFmtId="0" fontId="77" fillId="20" borderId="0" xfId="13" applyFont="1" applyFill="1" applyAlignment="1">
      <alignment wrapText="1"/>
    </xf>
    <xf numFmtId="0" fontId="5" fillId="0" borderId="0" xfId="13" applyFont="1" applyAlignment="1">
      <alignment horizontal="center" vertical="center" wrapText="1"/>
    </xf>
    <xf numFmtId="0" fontId="54" fillId="27" borderId="0" xfId="13" applyFont="1" applyFill="1"/>
    <xf numFmtId="0" fontId="35" fillId="34" borderId="0" xfId="0" applyFont="1" applyFill="1"/>
    <xf numFmtId="164" fontId="25" fillId="34" borderId="0" xfId="1" applyNumberFormat="1" applyFont="1" applyFill="1" applyAlignment="1">
      <alignment horizontal="center" vertical="center"/>
    </xf>
    <xf numFmtId="164" fontId="35" fillId="34" borderId="0" xfId="0" applyNumberFormat="1" applyFont="1" applyFill="1"/>
    <xf numFmtId="0" fontId="0" fillId="28" borderId="5" xfId="0" applyFill="1" applyBorder="1"/>
    <xf numFmtId="0" fontId="9" fillId="28" borderId="0" xfId="0" applyFont="1" applyFill="1" applyAlignment="1">
      <alignment wrapText="1"/>
    </xf>
    <xf numFmtId="0" fontId="81" fillId="30" borderId="0" xfId="0" applyFont="1" applyFill="1"/>
    <xf numFmtId="0" fontId="8" fillId="26" borderId="0" xfId="0" applyFont="1" applyFill="1" applyAlignment="1">
      <alignment wrapText="1"/>
    </xf>
    <xf numFmtId="0" fontId="80" fillId="3" borderId="0" xfId="13" applyFont="1" applyFill="1" applyAlignment="1">
      <alignment horizontal="center" wrapText="1"/>
    </xf>
    <xf numFmtId="0" fontId="5" fillId="0" borderId="5" xfId="13" applyFont="1" applyBorder="1" applyAlignment="1">
      <alignment horizontal="right"/>
    </xf>
    <xf numFmtId="0" fontId="5" fillId="0" borderId="17" xfId="13" applyFont="1" applyBorder="1" applyAlignment="1">
      <alignment horizontal="right"/>
    </xf>
    <xf numFmtId="0" fontId="5" fillId="0" borderId="0" xfId="13" quotePrefix="1" applyFont="1"/>
    <xf numFmtId="0" fontId="5" fillId="0" borderId="0" xfId="13" quotePrefix="1" applyFont="1" applyAlignment="1">
      <alignment horizontal="right"/>
    </xf>
    <xf numFmtId="0" fontId="66" fillId="31" borderId="0" xfId="13" applyFont="1" applyFill="1" applyAlignment="1">
      <alignment vertical="top" wrapText="1"/>
    </xf>
    <xf numFmtId="0" fontId="7" fillId="30" borderId="0" xfId="0" applyFont="1" applyFill="1"/>
    <xf numFmtId="0" fontId="7" fillId="0" borderId="0" xfId="13" applyFont="1" applyAlignment="1">
      <alignment horizontal="center" vertical="center"/>
    </xf>
    <xf numFmtId="0" fontId="9" fillId="27" borderId="0" xfId="0" applyFont="1" applyFill="1" applyAlignment="1">
      <alignment textRotation="90" wrapText="1"/>
    </xf>
    <xf numFmtId="0" fontId="5" fillId="34" borderId="0" xfId="13" applyFont="1" applyFill="1" applyAlignment="1">
      <alignment horizontal="left" wrapText="1"/>
    </xf>
    <xf numFmtId="0" fontId="0" fillId="15" borderId="0" xfId="0" applyFill="1"/>
    <xf numFmtId="0" fontId="21" fillId="9" borderId="13" xfId="1" applyFont="1" applyFill="1" applyBorder="1"/>
    <xf numFmtId="0" fontId="96" fillId="0" borderId="0" xfId="0" applyFont="1"/>
    <xf numFmtId="164" fontId="52" fillId="12" borderId="0" xfId="13" applyNumberFormat="1" applyFont="1" applyFill="1" applyAlignment="1" applyProtection="1">
      <alignment vertical="center"/>
      <protection locked="0"/>
    </xf>
    <xf numFmtId="0" fontId="97" fillId="0" borderId="0" xfId="0" applyFont="1"/>
    <xf numFmtId="0" fontId="0" fillId="3" borderId="0" xfId="13" applyFont="1" applyFill="1" applyAlignment="1">
      <alignment vertical="center"/>
    </xf>
    <xf numFmtId="0" fontId="0" fillId="17" borderId="0" xfId="13" applyFont="1" applyFill="1" applyAlignment="1">
      <alignment horizontal="left" vertical="center" indent="1"/>
    </xf>
    <xf numFmtId="0" fontId="0" fillId="16" borderId="0" xfId="13" applyFont="1" applyFill="1" applyAlignment="1">
      <alignment vertical="center"/>
    </xf>
    <xf numFmtId="0" fontId="0" fillId="17" borderId="0" xfId="13" applyFont="1" applyFill="1" applyAlignment="1">
      <alignment vertical="center"/>
    </xf>
    <xf numFmtId="9" fontId="0" fillId="16" borderId="0" xfId="14" applyFont="1" applyFill="1" applyBorder="1" applyAlignment="1" applyProtection="1">
      <alignment horizontal="center" vertical="center"/>
    </xf>
    <xf numFmtId="0" fontId="0" fillId="3" borderId="0" xfId="13" applyFont="1" applyFill="1" applyAlignment="1">
      <alignment horizontal="center" vertical="top"/>
    </xf>
    <xf numFmtId="0" fontId="0" fillId="3" borderId="0" xfId="13" applyFont="1" applyFill="1" applyAlignment="1">
      <alignment horizontal="right" vertical="top"/>
    </xf>
    <xf numFmtId="0" fontId="0" fillId="3" borderId="0" xfId="13" applyFont="1" applyFill="1" applyAlignment="1">
      <alignment horizontal="left" vertical="top"/>
    </xf>
    <xf numFmtId="0" fontId="78" fillId="3" borderId="0" xfId="13" applyFont="1" applyFill="1" applyAlignment="1">
      <alignment horizontal="left" vertical="top" wrapText="1"/>
    </xf>
    <xf numFmtId="0" fontId="93" fillId="0" borderId="0" xfId="13" applyFont="1" applyAlignment="1">
      <alignment horizontal="left" vertical="top"/>
    </xf>
    <xf numFmtId="0" fontId="0" fillId="3" borderId="0" xfId="0" applyFill="1"/>
    <xf numFmtId="0" fontId="100" fillId="3" borderId="0" xfId="13" applyFont="1" applyFill="1" applyAlignment="1">
      <alignment horizontal="left" vertical="top" indent="1"/>
    </xf>
    <xf numFmtId="0" fontId="98" fillId="0" borderId="0" xfId="13" applyFont="1" applyAlignment="1">
      <alignment horizontal="center" vertical="top" wrapText="1"/>
    </xf>
    <xf numFmtId="0" fontId="20" fillId="3" borderId="0" xfId="13" applyFont="1" applyFill="1" applyAlignment="1">
      <alignment horizontal="right"/>
    </xf>
    <xf numFmtId="0" fontId="20" fillId="3" borderId="0" xfId="13" applyFont="1" applyFill="1" applyAlignment="1">
      <alignment horizontal="right" vertical="top"/>
    </xf>
    <xf numFmtId="0" fontId="20" fillId="3" borderId="0" xfId="13" applyFont="1" applyFill="1" applyAlignment="1">
      <alignment horizontal="left" vertical="top"/>
    </xf>
    <xf numFmtId="0" fontId="0" fillId="0" borderId="0" xfId="0" applyAlignment="1">
      <alignment vertical="top"/>
    </xf>
    <xf numFmtId="0" fontId="0" fillId="0" borderId="0" xfId="0" applyAlignment="1">
      <alignment horizontal="right"/>
    </xf>
    <xf numFmtId="0" fontId="0" fillId="3" borderId="0" xfId="13" applyFont="1" applyFill="1" applyAlignment="1">
      <alignment horizontal="center" vertical="center" wrapText="1"/>
    </xf>
    <xf numFmtId="0" fontId="93" fillId="3" borderId="0" xfId="13" applyFont="1" applyFill="1" applyAlignment="1">
      <alignment horizontal="left" vertical="top"/>
    </xf>
    <xf numFmtId="0" fontId="107" fillId="3" borderId="0" xfId="13" applyFont="1" applyFill="1" applyAlignment="1">
      <alignment horizontal="right" vertical="top"/>
    </xf>
    <xf numFmtId="0" fontId="106" fillId="3" borderId="0" xfId="13" applyFont="1" applyFill="1" applyAlignment="1">
      <alignment wrapText="1"/>
    </xf>
    <xf numFmtId="0" fontId="109" fillId="3" borderId="0" xfId="13" applyFont="1" applyFill="1" applyAlignment="1">
      <alignment horizontal="left" vertical="top"/>
    </xf>
    <xf numFmtId="0" fontId="96" fillId="3" borderId="0" xfId="0" applyFont="1" applyFill="1"/>
    <xf numFmtId="164" fontId="105" fillId="35" borderId="0" xfId="1" applyNumberFormat="1" applyFont="1" applyFill="1" applyAlignment="1">
      <alignment vertical="center"/>
    </xf>
    <xf numFmtId="164" fontId="105" fillId="0" borderId="0" xfId="1" applyNumberFormat="1" applyFont="1" applyAlignment="1">
      <alignment vertical="center"/>
    </xf>
    <xf numFmtId="0" fontId="37" fillId="10" borderId="0" xfId="1" applyFont="1" applyFill="1" applyAlignment="1">
      <alignment horizontal="left" vertical="top" wrapText="1"/>
    </xf>
    <xf numFmtId="0" fontId="25" fillId="3" borderId="0" xfId="1" applyFont="1" applyFill="1" applyAlignment="1">
      <alignment horizontal="right" vertical="top" wrapText="1"/>
    </xf>
    <xf numFmtId="0" fontId="37" fillId="9" borderId="0" xfId="1" applyFont="1" applyFill="1" applyAlignment="1">
      <alignment horizontal="left" vertical="top" wrapText="1"/>
    </xf>
    <xf numFmtId="0" fontId="37" fillId="8" borderId="0" xfId="1" applyFont="1" applyFill="1" applyAlignment="1">
      <alignment vertical="top" wrapText="1"/>
    </xf>
    <xf numFmtId="0" fontId="21" fillId="8" borderId="13" xfId="1" applyFont="1" applyFill="1" applyBorder="1"/>
    <xf numFmtId="0" fontId="21" fillId="8" borderId="0" xfId="1" applyFont="1" applyFill="1"/>
    <xf numFmtId="0" fontId="33" fillId="10" borderId="0" xfId="1" applyFont="1" applyFill="1" applyAlignment="1">
      <alignment horizontal="left" vertical="center" wrapText="1"/>
    </xf>
    <xf numFmtId="0" fontId="33" fillId="10" borderId="13" xfId="1" applyFont="1" applyFill="1" applyBorder="1" applyAlignment="1">
      <alignment horizontal="left" vertical="center"/>
    </xf>
    <xf numFmtId="172" fontId="26" fillId="12" borderId="0" xfId="0" applyNumberFormat="1" applyFont="1" applyFill="1" applyAlignment="1" applyProtection="1">
      <alignment horizontal="right" vertical="center"/>
      <protection locked="0"/>
    </xf>
    <xf numFmtId="0" fontId="89" fillId="32" borderId="0" xfId="1" applyFont="1" applyFill="1" applyAlignment="1">
      <alignment horizontal="center" vertical="top"/>
    </xf>
    <xf numFmtId="0" fontId="32" fillId="3" borderId="0" xfId="1" applyFont="1" applyFill="1" applyAlignment="1">
      <alignment horizontal="center" vertical="center"/>
    </xf>
    <xf numFmtId="0" fontId="47" fillId="3" borderId="0" xfId="1" applyFont="1" applyFill="1" applyAlignment="1">
      <alignment horizontal="center" vertical="center"/>
    </xf>
    <xf numFmtId="0" fontId="37" fillId="3" borderId="0" xfId="1" applyFont="1" applyFill="1" applyAlignment="1">
      <alignment vertical="top" wrapText="1"/>
    </xf>
    <xf numFmtId="0" fontId="48" fillId="3" borderId="0" xfId="1" applyFont="1" applyFill="1" applyAlignment="1">
      <alignment horizontal="center" vertical="center"/>
    </xf>
    <xf numFmtId="0" fontId="33" fillId="3" borderId="0" xfId="1" applyFont="1" applyFill="1" applyAlignment="1">
      <alignment horizontal="left" vertical="center" wrapText="1"/>
    </xf>
    <xf numFmtId="0" fontId="33" fillId="3" borderId="0" xfId="1" applyFont="1" applyFill="1" applyAlignment="1">
      <alignment horizontal="left" vertical="center"/>
    </xf>
    <xf numFmtId="0" fontId="111" fillId="32" borderId="0" xfId="1" applyFont="1" applyFill="1" applyAlignment="1">
      <alignment horizontal="right" vertical="top" wrapText="1"/>
    </xf>
    <xf numFmtId="0" fontId="112" fillId="10" borderId="13" xfId="1" applyFont="1" applyFill="1" applyBorder="1" applyAlignment="1">
      <alignment horizontal="left" vertical="center"/>
    </xf>
    <xf numFmtId="2" fontId="111" fillId="3" borderId="0" xfId="0" applyNumberFormat="1" applyFont="1" applyFill="1" applyAlignment="1">
      <alignment horizontal="center" vertical="top" wrapText="1"/>
    </xf>
    <xf numFmtId="0" fontId="26" fillId="23" borderId="0" xfId="0" applyFont="1" applyFill="1" applyAlignment="1">
      <alignment horizontal="left" vertical="center"/>
    </xf>
    <xf numFmtId="197" fontId="57" fillId="11" borderId="7" xfId="0" applyNumberFormat="1" applyFont="1" applyFill="1" applyBorder="1" applyAlignment="1">
      <alignment horizontal="center"/>
    </xf>
    <xf numFmtId="198" fontId="57" fillId="11" borderId="9" xfId="0" applyNumberFormat="1" applyFont="1" applyFill="1" applyBorder="1" applyAlignment="1">
      <alignment horizontal="center"/>
    </xf>
    <xf numFmtId="199" fontId="57" fillId="11" borderId="9" xfId="0" applyNumberFormat="1" applyFont="1" applyFill="1" applyBorder="1" applyAlignment="1">
      <alignment horizontal="center"/>
    </xf>
    <xf numFmtId="200" fontId="57" fillId="11" borderId="27" xfId="0" applyNumberFormat="1" applyFont="1" applyFill="1" applyBorder="1" applyAlignment="1">
      <alignment horizontal="center"/>
    </xf>
    <xf numFmtId="0" fontId="52" fillId="23" borderId="0" xfId="13" applyFont="1" applyFill="1" applyAlignment="1">
      <alignment vertical="center"/>
    </xf>
    <xf numFmtId="0" fontId="0" fillId="3" borderId="0" xfId="13" applyFont="1" applyFill="1" applyAlignment="1">
      <alignment horizontal="center" vertical="center"/>
    </xf>
    <xf numFmtId="0" fontId="20" fillId="3" borderId="0" xfId="13" applyFont="1" applyFill="1" applyAlignment="1">
      <alignment horizontal="left" vertical="top" wrapText="1"/>
    </xf>
    <xf numFmtId="0" fontId="18" fillId="3" borderId="0" xfId="1" applyFont="1" applyFill="1" applyAlignment="1">
      <alignment horizontal="left" vertical="center"/>
    </xf>
    <xf numFmtId="0" fontId="91" fillId="3" borderId="0" xfId="13" applyFont="1" applyFill="1" applyAlignment="1">
      <alignment horizontal="center" vertical="center" wrapText="1"/>
    </xf>
    <xf numFmtId="0" fontId="37" fillId="3" borderId="0" xfId="1" applyFont="1" applyFill="1" applyAlignment="1">
      <alignment horizontal="left" vertical="top" wrapText="1"/>
    </xf>
    <xf numFmtId="186" fontId="18" fillId="3" borderId="0" xfId="1" applyNumberFormat="1" applyFont="1" applyFill="1" applyAlignment="1">
      <alignment horizontal="left" vertical="center"/>
    </xf>
    <xf numFmtId="187" fontId="18" fillId="3" borderId="0" xfId="1" applyNumberFormat="1" applyFont="1" applyFill="1" applyAlignment="1">
      <alignment horizontal="left" vertical="center"/>
    </xf>
    <xf numFmtId="185" fontId="18" fillId="3" borderId="0" xfId="1" applyNumberFormat="1" applyFont="1" applyFill="1" applyAlignment="1">
      <alignment horizontal="left" vertical="center"/>
    </xf>
    <xf numFmtId="0" fontId="21" fillId="3" borderId="0" xfId="1" applyFont="1" applyFill="1" applyAlignment="1">
      <alignment horizontal="center"/>
    </xf>
    <xf numFmtId="0" fontId="51" fillId="3" borderId="0" xfId="1" applyFont="1" applyFill="1" applyAlignment="1">
      <alignment horizontal="center" vertical="top" wrapText="1"/>
    </xf>
    <xf numFmtId="0" fontId="18" fillId="3" borderId="4" xfId="1" applyFont="1" applyFill="1" applyBorder="1" applyAlignment="1">
      <alignment horizontal="left" vertical="center"/>
    </xf>
    <xf numFmtId="0" fontId="13" fillId="3" borderId="0" xfId="0" applyFont="1" applyFill="1" applyAlignment="1">
      <alignment horizontal="center"/>
    </xf>
    <xf numFmtId="0" fontId="13" fillId="32" borderId="0" xfId="0" applyFont="1" applyFill="1" applyAlignment="1">
      <alignment horizontal="center"/>
    </xf>
    <xf numFmtId="164" fontId="62" fillId="12" borderId="0" xfId="1" applyNumberFormat="1" applyFont="1" applyFill="1" applyAlignment="1">
      <alignment vertical="center"/>
    </xf>
    <xf numFmtId="0" fontId="90" fillId="0" borderId="0" xfId="0" applyFont="1"/>
    <xf numFmtId="0" fontId="50" fillId="3" borderId="0" xfId="0" applyFont="1" applyFill="1" applyAlignment="1">
      <alignment horizontal="center" vertical="top"/>
    </xf>
    <xf numFmtId="0" fontId="51" fillId="3" borderId="0" xfId="1" applyFont="1" applyFill="1" applyAlignment="1" applyProtection="1">
      <alignment horizontal="center" vertical="top" wrapText="1"/>
      <protection locked="0"/>
    </xf>
    <xf numFmtId="0" fontId="18" fillId="3" borderId="0" xfId="1" applyFont="1" applyFill="1" applyAlignment="1">
      <alignment horizontal="right" vertical="center"/>
    </xf>
    <xf numFmtId="164" fontId="29" fillId="22" borderId="0" xfId="1" applyNumberFormat="1" applyFont="1" applyFill="1" applyAlignment="1">
      <alignment vertical="center"/>
    </xf>
    <xf numFmtId="164" fontId="30" fillId="22" borderId="0" xfId="1" applyNumberFormat="1" applyFont="1" applyFill="1" applyAlignment="1">
      <alignment vertical="center"/>
    </xf>
    <xf numFmtId="0" fontId="0" fillId="0" borderId="0" xfId="13" applyFont="1"/>
    <xf numFmtId="0" fontId="103" fillId="8" borderId="0" xfId="1" applyFont="1" applyFill="1" applyAlignment="1">
      <alignment horizontal="left"/>
    </xf>
    <xf numFmtId="0" fontId="19" fillId="8" borderId="0" xfId="13" applyFont="1" applyFill="1" applyAlignment="1">
      <alignment horizontal="right" vertical="top" wrapText="1"/>
    </xf>
    <xf numFmtId="0" fontId="104" fillId="0" borderId="0" xfId="0" applyFont="1" applyAlignment="1">
      <alignment horizontal="center" vertical="center" wrapText="1"/>
    </xf>
    <xf numFmtId="0" fontId="121" fillId="8" borderId="0" xfId="1" applyFont="1" applyFill="1" applyAlignment="1">
      <alignment horizontal="left" vertical="center" wrapText="1"/>
    </xf>
    <xf numFmtId="0" fontId="0" fillId="16" borderId="0" xfId="13" applyFont="1" applyFill="1" applyAlignment="1">
      <alignment horizontal="center" vertical="center"/>
    </xf>
    <xf numFmtId="1" fontId="0" fillId="17" borderId="0" xfId="13" applyNumberFormat="1" applyFont="1" applyFill="1" applyAlignment="1">
      <alignment vertical="center"/>
    </xf>
    <xf numFmtId="164" fontId="0" fillId="17" borderId="0" xfId="13" applyNumberFormat="1" applyFont="1" applyFill="1" applyAlignment="1">
      <alignment vertical="center"/>
    </xf>
    <xf numFmtId="9" fontId="0" fillId="17" borderId="0" xfId="14" applyFont="1" applyFill="1" applyBorder="1" applyAlignment="1" applyProtection="1">
      <alignment horizontal="center" vertical="center"/>
    </xf>
    <xf numFmtId="0" fontId="97" fillId="3" borderId="0" xfId="0" applyFont="1" applyFill="1"/>
    <xf numFmtId="0" fontId="0" fillId="0" borderId="0" xfId="13" applyFont="1" applyAlignment="1">
      <alignment horizontal="center"/>
    </xf>
    <xf numFmtId="0" fontId="9" fillId="15" borderId="0" xfId="0" applyFont="1" applyFill="1"/>
    <xf numFmtId="0" fontId="8" fillId="19" borderId="0" xfId="13" applyFont="1" applyFill="1" applyAlignment="1">
      <alignment horizontal="left"/>
    </xf>
    <xf numFmtId="0" fontId="0" fillId="0" borderId="0" xfId="0" applyAlignment="1">
      <alignment horizontal="center"/>
    </xf>
    <xf numFmtId="0" fontId="0" fillId="3" borderId="0" xfId="0" quotePrefix="1" applyFill="1"/>
    <xf numFmtId="0" fontId="123" fillId="14" borderId="32" xfId="13" applyFont="1" applyFill="1" applyBorder="1" applyAlignment="1">
      <alignment horizontal="center" wrapText="1"/>
    </xf>
    <xf numFmtId="181" fontId="123" fillId="14" borderId="32" xfId="13" applyNumberFormat="1" applyFont="1" applyFill="1" applyBorder="1" applyAlignment="1">
      <alignment horizontal="center"/>
    </xf>
    <xf numFmtId="0" fontId="9" fillId="14" borderId="32" xfId="13" applyFont="1" applyFill="1" applyBorder="1" applyAlignment="1">
      <alignment horizontal="center"/>
    </xf>
    <xf numFmtId="181" fontId="123" fillId="19" borderId="33" xfId="13" applyNumberFormat="1" applyFont="1" applyFill="1" applyBorder="1" applyAlignment="1">
      <alignment horizontal="center"/>
    </xf>
    <xf numFmtId="0" fontId="9" fillId="19" borderId="33" xfId="13" applyFont="1" applyFill="1" applyBorder="1" applyAlignment="1">
      <alignment horizontal="center"/>
    </xf>
    <xf numFmtId="0" fontId="124" fillId="3" borderId="0" xfId="13" applyFont="1" applyFill="1" applyAlignment="1">
      <alignment horizontal="left" wrapText="1"/>
    </xf>
    <xf numFmtId="0" fontId="8" fillId="36" borderId="0" xfId="13" applyFont="1" applyFill="1" applyAlignment="1">
      <alignment horizontal="left"/>
    </xf>
    <xf numFmtId="0" fontId="9" fillId="36" borderId="0" xfId="0" applyFont="1" applyFill="1"/>
    <xf numFmtId="164" fontId="0" fillId="37" borderId="0" xfId="13" applyNumberFormat="1" applyFont="1" applyFill="1" applyAlignment="1">
      <alignment horizontal="right" vertical="center"/>
    </xf>
    <xf numFmtId="0" fontId="0" fillId="37" borderId="0" xfId="13" applyFont="1" applyFill="1" applyAlignment="1">
      <alignment horizontal="left" vertical="center"/>
    </xf>
    <xf numFmtId="164" fontId="0" fillId="37" borderId="0" xfId="13" applyNumberFormat="1" applyFont="1" applyFill="1" applyAlignment="1">
      <alignment horizontal="left" vertical="center"/>
    </xf>
    <xf numFmtId="9" fontId="0" fillId="37" borderId="0" xfId="14" applyFont="1" applyFill="1" applyBorder="1" applyAlignment="1" applyProtection="1">
      <alignment horizontal="center" vertical="center"/>
    </xf>
    <xf numFmtId="0" fontId="0" fillId="37" borderId="0" xfId="13" applyFont="1" applyFill="1" applyAlignment="1">
      <alignment horizontal="left" vertical="center" indent="1"/>
    </xf>
    <xf numFmtId="0" fontId="0" fillId="37" borderId="0" xfId="13" applyFont="1" applyFill="1" applyAlignment="1">
      <alignment horizontal="left" vertical="center" indent="2"/>
    </xf>
    <xf numFmtId="0" fontId="9" fillId="37" borderId="0" xfId="13" applyFont="1" applyFill="1" applyAlignment="1">
      <alignment horizontal="left" vertical="center" indent="2"/>
    </xf>
    <xf numFmtId="0" fontId="124" fillId="37" borderId="0" xfId="13" applyFont="1" applyFill="1" applyAlignment="1">
      <alignment horizontal="left" wrapText="1"/>
    </xf>
    <xf numFmtId="9" fontId="0" fillId="37" borderId="0" xfId="15" applyFont="1" applyFill="1" applyBorder="1" applyAlignment="1" applyProtection="1">
      <alignment horizontal="center" vertical="center"/>
    </xf>
    <xf numFmtId="9" fontId="0" fillId="38" borderId="0" xfId="14" applyFont="1" applyFill="1" applyBorder="1" applyAlignment="1" applyProtection="1">
      <alignment horizontal="center" vertical="center"/>
    </xf>
    <xf numFmtId="0" fontId="0" fillId="38" borderId="0" xfId="13" applyFont="1" applyFill="1" applyAlignment="1">
      <alignment horizontal="center" vertical="center"/>
    </xf>
    <xf numFmtId="0" fontId="0" fillId="38" borderId="0" xfId="13" applyFont="1" applyFill="1" applyAlignment="1">
      <alignment horizontal="right" vertical="top"/>
    </xf>
    <xf numFmtId="0" fontId="0" fillId="38" borderId="0" xfId="13" applyFont="1" applyFill="1" applyAlignment="1">
      <alignment horizontal="center" vertical="top"/>
    </xf>
    <xf numFmtId="0" fontId="0" fillId="38" borderId="0" xfId="13" applyFont="1" applyFill="1" applyAlignment="1">
      <alignment horizontal="left" vertical="top"/>
    </xf>
    <xf numFmtId="0" fontId="0" fillId="38" borderId="0" xfId="13" applyFont="1" applyFill="1" applyAlignment="1">
      <alignment vertical="center"/>
    </xf>
    <xf numFmtId="1" fontId="0" fillId="38" borderId="0" xfId="13" applyNumberFormat="1" applyFont="1" applyFill="1" applyAlignment="1">
      <alignment horizontal="right" vertical="center"/>
    </xf>
    <xf numFmtId="9" fontId="0" fillId="17" borderId="0" xfId="15" applyFont="1" applyFill="1" applyBorder="1" applyAlignment="1" applyProtection="1">
      <alignment horizontal="center" vertical="center"/>
    </xf>
    <xf numFmtId="181" fontId="123" fillId="36" borderId="34" xfId="13" applyNumberFormat="1" applyFont="1" applyFill="1" applyBorder="1" applyAlignment="1">
      <alignment horizontal="center"/>
    </xf>
    <xf numFmtId="0" fontId="9" fillId="36" borderId="34" xfId="13" applyFont="1" applyFill="1" applyBorder="1" applyAlignment="1">
      <alignment horizontal="center"/>
    </xf>
    <xf numFmtId="0" fontId="125" fillId="37" borderId="0" xfId="13" applyFont="1" applyFill="1" applyAlignment="1">
      <alignment horizontal="center" vertical="center"/>
    </xf>
    <xf numFmtId="0" fontId="125" fillId="38" borderId="0" xfId="13" applyFont="1" applyFill="1" applyAlignment="1">
      <alignment horizontal="center" vertical="center"/>
    </xf>
    <xf numFmtId="0" fontId="126" fillId="37" borderId="0" xfId="13" applyFont="1" applyFill="1" applyAlignment="1">
      <alignment horizontal="center" vertical="center"/>
    </xf>
    <xf numFmtId="0" fontId="126" fillId="38" borderId="0" xfId="13" applyFont="1" applyFill="1" applyAlignment="1">
      <alignment horizontal="center" vertical="center"/>
    </xf>
    <xf numFmtId="9" fontId="125" fillId="37" borderId="0" xfId="14" applyFont="1" applyFill="1" applyBorder="1" applyAlignment="1" applyProtection="1">
      <alignment horizontal="center" vertical="center"/>
    </xf>
    <xf numFmtId="0" fontId="0" fillId="39" borderId="0" xfId="13" applyFont="1" applyFill="1" applyAlignment="1">
      <alignment vertical="center"/>
    </xf>
    <xf numFmtId="0" fontId="0" fillId="39" borderId="0" xfId="13" applyFont="1" applyFill="1" applyAlignment="1">
      <alignment horizontal="center" vertical="center"/>
    </xf>
    <xf numFmtId="1" fontId="0" fillId="39" borderId="0" xfId="13" applyNumberFormat="1" applyFont="1" applyFill="1" applyAlignment="1">
      <alignment horizontal="right" vertical="center"/>
    </xf>
    <xf numFmtId="9" fontId="0" fillId="39" borderId="0" xfId="14" applyFont="1" applyFill="1" applyBorder="1" applyAlignment="1" applyProtection="1">
      <alignment horizontal="center" vertical="center"/>
    </xf>
    <xf numFmtId="0" fontId="126" fillId="39" borderId="0" xfId="13" applyFont="1" applyFill="1" applyAlignment="1">
      <alignment horizontal="center" vertical="center"/>
    </xf>
    <xf numFmtId="9" fontId="125" fillId="39" borderId="0" xfId="14" applyFont="1" applyFill="1" applyBorder="1" applyAlignment="1" applyProtection="1">
      <alignment horizontal="center" vertical="center"/>
    </xf>
    <xf numFmtId="0" fontId="9" fillId="19" borderId="0" xfId="0" applyFont="1" applyFill="1"/>
    <xf numFmtId="0" fontId="125" fillId="39" borderId="0" xfId="13" applyFont="1" applyFill="1" applyAlignment="1">
      <alignment horizontal="center" vertical="center"/>
    </xf>
    <xf numFmtId="0" fontId="104" fillId="3" borderId="0" xfId="0" applyFont="1" applyFill="1" applyAlignment="1">
      <alignment horizontal="center" vertical="center" wrapText="1"/>
    </xf>
    <xf numFmtId="9" fontId="125" fillId="37" borderId="0" xfId="15" applyFont="1" applyFill="1" applyBorder="1" applyAlignment="1" applyProtection="1">
      <alignment horizontal="center" vertical="center"/>
    </xf>
    <xf numFmtId="164" fontId="125" fillId="37" borderId="0" xfId="13" applyNumberFormat="1" applyFont="1" applyFill="1" applyAlignment="1">
      <alignment horizontal="center" vertical="center"/>
    </xf>
    <xf numFmtId="0" fontId="129" fillId="3" borderId="0" xfId="13" applyFont="1" applyFill="1"/>
    <xf numFmtId="9" fontId="0" fillId="18" borderId="0" xfId="14" applyFont="1" applyFill="1" applyBorder="1" applyAlignment="1" applyProtection="1">
      <alignment horizontal="center" vertical="center"/>
    </xf>
    <xf numFmtId="0" fontId="10" fillId="0" borderId="0" xfId="0" applyFont="1"/>
    <xf numFmtId="164" fontId="5" fillId="12" borderId="0" xfId="13" applyNumberFormat="1" applyFont="1" applyFill="1" applyAlignment="1" applyProtection="1">
      <alignment horizontal="right" vertical="center"/>
      <protection locked="0"/>
    </xf>
    <xf numFmtId="2" fontId="5" fillId="12" borderId="0" xfId="13" applyNumberFormat="1" applyFont="1" applyFill="1" applyAlignment="1" applyProtection="1">
      <alignment horizontal="right" vertical="center"/>
      <protection locked="0"/>
    </xf>
    <xf numFmtId="1" fontId="5" fillId="12" borderId="0" xfId="13" applyNumberFormat="1" applyFont="1" applyFill="1" applyAlignment="1" applyProtection="1">
      <alignment horizontal="right" vertical="center"/>
      <protection locked="0"/>
    </xf>
    <xf numFmtId="164" fontId="5" fillId="40" borderId="0" xfId="13" applyNumberFormat="1" applyFont="1" applyFill="1" applyAlignment="1" applyProtection="1">
      <alignment horizontal="right" vertical="center"/>
      <protection locked="0"/>
    </xf>
    <xf numFmtId="164" fontId="5" fillId="40" borderId="0" xfId="13" applyNumberFormat="1" applyFont="1" applyFill="1" applyAlignment="1">
      <alignment horizontal="left" vertical="center"/>
    </xf>
    <xf numFmtId="2" fontId="5" fillId="40" borderId="0" xfId="13" applyNumberFormat="1" applyFont="1" applyFill="1" applyAlignment="1">
      <alignment horizontal="left" vertical="center"/>
    </xf>
    <xf numFmtId="2" fontId="5" fillId="40" borderId="0" xfId="13" applyNumberFormat="1" applyFont="1" applyFill="1" applyAlignment="1" applyProtection="1">
      <alignment horizontal="right" vertical="center"/>
      <protection locked="0"/>
    </xf>
    <xf numFmtId="0" fontId="5" fillId="40" borderId="0" xfId="13" applyFont="1" applyFill="1" applyAlignment="1" applyProtection="1">
      <alignment horizontal="right" vertical="center"/>
      <protection locked="0"/>
    </xf>
    <xf numFmtId="164" fontId="5" fillId="23" borderId="0" xfId="13" applyNumberFormat="1" applyFont="1" applyFill="1" applyAlignment="1">
      <alignment horizontal="left" vertical="center"/>
    </xf>
    <xf numFmtId="2" fontId="5" fillId="23" borderId="0" xfId="13" applyNumberFormat="1" applyFont="1" applyFill="1" applyAlignment="1">
      <alignment horizontal="left" vertical="center"/>
    </xf>
    <xf numFmtId="0" fontId="5" fillId="23" borderId="0" xfId="13" applyFont="1" applyFill="1" applyAlignment="1">
      <alignment horizontal="left" vertical="center"/>
    </xf>
    <xf numFmtId="0" fontId="9" fillId="42" borderId="0" xfId="13" applyFont="1" applyFill="1" applyAlignment="1">
      <alignment horizontal="left" vertical="center" indent="1"/>
    </xf>
    <xf numFmtId="0" fontId="124" fillId="42" borderId="0" xfId="13" applyFont="1" applyFill="1" applyAlignment="1">
      <alignment horizontal="left" wrapText="1"/>
    </xf>
    <xf numFmtId="0" fontId="109" fillId="42" borderId="0" xfId="13" applyFont="1" applyFill="1" applyAlignment="1">
      <alignment horizontal="left" vertical="top"/>
    </xf>
    <xf numFmtId="0" fontId="0" fillId="42" borderId="0" xfId="13" applyFont="1" applyFill="1" applyAlignment="1">
      <alignment horizontal="left" vertical="center" indent="2"/>
    </xf>
    <xf numFmtId="0" fontId="79" fillId="42" borderId="0" xfId="13" applyFont="1" applyFill="1" applyAlignment="1">
      <alignment horizontal="left" vertical="center" indent="1"/>
    </xf>
    <xf numFmtId="180" fontId="0" fillId="42" borderId="0" xfId="13" applyNumberFormat="1" applyFont="1" applyFill="1" applyAlignment="1">
      <alignment horizontal="right" vertical="center"/>
    </xf>
    <xf numFmtId="0" fontId="0" fillId="42" borderId="0" xfId="13" applyFont="1" applyFill="1" applyAlignment="1">
      <alignment horizontal="left" vertical="center"/>
    </xf>
    <xf numFmtId="164" fontId="0" fillId="42" borderId="0" xfId="13" applyNumberFormat="1" applyFont="1" applyFill="1" applyAlignment="1">
      <alignment horizontal="right" vertical="center"/>
    </xf>
    <xf numFmtId="164" fontId="0" fillId="42" borderId="0" xfId="13" applyNumberFormat="1" applyFont="1" applyFill="1" applyAlignment="1">
      <alignment horizontal="left" vertical="center"/>
    </xf>
    <xf numFmtId="2" fontId="0" fillId="42" borderId="0" xfId="13" applyNumberFormat="1" applyFont="1" applyFill="1" applyAlignment="1">
      <alignment horizontal="right" vertical="center"/>
    </xf>
    <xf numFmtId="9" fontId="0" fillId="42" borderId="0" xfId="15" applyFont="1" applyFill="1" applyBorder="1" applyAlignment="1" applyProtection="1">
      <alignment horizontal="center" vertical="center"/>
    </xf>
    <xf numFmtId="9" fontId="125" fillId="42" borderId="0" xfId="15" applyFont="1" applyFill="1" applyBorder="1" applyAlignment="1" applyProtection="1">
      <alignment horizontal="center" vertical="center"/>
    </xf>
    <xf numFmtId="9" fontId="0" fillId="42" borderId="0" xfId="14" applyFont="1" applyFill="1" applyBorder="1" applyAlignment="1" applyProtection="1">
      <alignment horizontal="center" vertical="center"/>
    </xf>
    <xf numFmtId="0" fontId="126" fillId="42" borderId="0" xfId="13" applyFont="1" applyFill="1" applyAlignment="1">
      <alignment horizontal="center" vertical="center"/>
    </xf>
    <xf numFmtId="0" fontId="125" fillId="42" borderId="0" xfId="13" applyFont="1" applyFill="1" applyAlignment="1">
      <alignment horizontal="center" vertical="center"/>
    </xf>
    <xf numFmtId="0" fontId="0" fillId="43" borderId="0" xfId="13" applyFont="1" applyFill="1" applyAlignment="1">
      <alignment horizontal="center" vertical="center"/>
    </xf>
    <xf numFmtId="0" fontId="0" fillId="43" borderId="0" xfId="13" applyFont="1" applyFill="1" applyAlignment="1">
      <alignment vertical="center"/>
    </xf>
    <xf numFmtId="9" fontId="0" fillId="43" borderId="0" xfId="14" applyFont="1" applyFill="1" applyBorder="1" applyAlignment="1" applyProtection="1">
      <alignment horizontal="center" vertical="center"/>
    </xf>
    <xf numFmtId="0" fontId="0" fillId="44" borderId="0" xfId="13" applyFont="1" applyFill="1" applyAlignment="1">
      <alignment horizontal="left" vertical="center" indent="1"/>
    </xf>
    <xf numFmtId="1" fontId="0" fillId="44" borderId="0" xfId="13" applyNumberFormat="1" applyFont="1" applyFill="1" applyAlignment="1">
      <alignment vertical="center"/>
    </xf>
    <xf numFmtId="0" fontId="0" fillId="44" borderId="0" xfId="13" applyFont="1" applyFill="1" applyAlignment="1">
      <alignment vertical="center"/>
    </xf>
    <xf numFmtId="164" fontId="0" fillId="44" borderId="0" xfId="13" applyNumberFormat="1" applyFont="1" applyFill="1" applyAlignment="1">
      <alignment vertical="center"/>
    </xf>
    <xf numFmtId="9" fontId="0" fillId="44" borderId="0" xfId="15" applyFont="1" applyFill="1" applyBorder="1" applyAlignment="1" applyProtection="1">
      <alignment horizontal="center" vertical="center"/>
    </xf>
    <xf numFmtId="9" fontId="0" fillId="44" borderId="0" xfId="14" applyFont="1" applyFill="1" applyBorder="1" applyAlignment="1" applyProtection="1">
      <alignment horizontal="center" vertical="center"/>
    </xf>
    <xf numFmtId="0" fontId="0" fillId="18" borderId="0" xfId="13" applyFont="1" applyFill="1" applyAlignment="1">
      <alignment horizontal="center" vertical="center"/>
    </xf>
    <xf numFmtId="0" fontId="0" fillId="18" borderId="0" xfId="13" applyFont="1" applyFill="1" applyAlignment="1">
      <alignment horizontal="right" vertical="center"/>
    </xf>
    <xf numFmtId="0" fontId="0" fillId="18" borderId="0" xfId="13" applyFont="1" applyFill="1" applyAlignment="1">
      <alignment vertical="center"/>
    </xf>
    <xf numFmtId="0" fontId="0" fillId="45" borderId="0" xfId="13" applyFont="1" applyFill="1" applyAlignment="1">
      <alignment horizontal="left" vertical="center"/>
    </xf>
    <xf numFmtId="9" fontId="0" fillId="45" borderId="0" xfId="14" applyFont="1" applyFill="1" applyBorder="1" applyAlignment="1" applyProtection="1">
      <alignment horizontal="center" vertical="center"/>
    </xf>
    <xf numFmtId="0" fontId="0" fillId="46" borderId="0" xfId="13" applyFont="1" applyFill="1" applyAlignment="1">
      <alignment horizontal="left" vertical="center"/>
    </xf>
    <xf numFmtId="9" fontId="0" fillId="46" borderId="0" xfId="14" applyFont="1" applyFill="1" applyBorder="1" applyAlignment="1" applyProtection="1">
      <alignment horizontal="center" vertical="center"/>
    </xf>
    <xf numFmtId="0" fontId="0" fillId="45" borderId="0" xfId="13" applyFont="1" applyFill="1" applyAlignment="1">
      <alignment horizontal="left" vertical="center" indent="1"/>
    </xf>
    <xf numFmtId="0" fontId="124" fillId="45" borderId="0" xfId="13" applyFont="1" applyFill="1" applyAlignment="1">
      <alignment horizontal="left" wrapText="1"/>
    </xf>
    <xf numFmtId="1" fontId="0" fillId="45" borderId="0" xfId="13" applyNumberFormat="1" applyFont="1" applyFill="1" applyAlignment="1">
      <alignment vertical="center"/>
    </xf>
    <xf numFmtId="164" fontId="0" fillId="45" borderId="0" xfId="13" applyNumberFormat="1" applyFont="1" applyFill="1" applyAlignment="1">
      <alignment vertical="center"/>
    </xf>
    <xf numFmtId="9" fontId="0" fillId="45" borderId="0" xfId="15" applyFont="1" applyFill="1" applyBorder="1" applyAlignment="1" applyProtection="1">
      <alignment horizontal="center" vertical="center"/>
    </xf>
    <xf numFmtId="0" fontId="0" fillId="46" borderId="0" xfId="13" applyFont="1" applyFill="1" applyAlignment="1">
      <alignment horizontal="center" vertical="center"/>
    </xf>
    <xf numFmtId="0" fontId="0" fillId="46" borderId="0" xfId="13" applyFont="1" applyFill="1" applyAlignment="1">
      <alignment horizontal="right" vertical="center"/>
    </xf>
    <xf numFmtId="0" fontId="0" fillId="46" borderId="0" xfId="13" applyFont="1" applyFill="1" applyAlignment="1">
      <alignment vertical="center"/>
    </xf>
    <xf numFmtId="9" fontId="127" fillId="46" borderId="0" xfId="14" applyFont="1" applyFill="1" applyBorder="1" applyAlignment="1" applyProtection="1">
      <alignment horizontal="center" vertical="center"/>
    </xf>
    <xf numFmtId="0" fontId="0" fillId="47" borderId="0" xfId="13" applyFont="1" applyFill="1" applyAlignment="1">
      <alignment horizontal="left" vertical="center" indent="1"/>
    </xf>
    <xf numFmtId="1" fontId="0" fillId="47" borderId="0" xfId="13" applyNumberFormat="1" applyFont="1" applyFill="1" applyAlignment="1">
      <alignment vertical="center"/>
    </xf>
    <xf numFmtId="0" fontId="0" fillId="47" borderId="0" xfId="13" applyFont="1" applyFill="1" applyAlignment="1">
      <alignment horizontal="left" vertical="center"/>
    </xf>
    <xf numFmtId="164" fontId="0" fillId="47" borderId="0" xfId="13" applyNumberFormat="1" applyFont="1" applyFill="1" applyAlignment="1">
      <alignment vertical="center"/>
    </xf>
    <xf numFmtId="0" fontId="11" fillId="47" borderId="0" xfId="13" applyFill="1" applyAlignment="1">
      <alignment horizontal="left" vertical="center"/>
    </xf>
    <xf numFmtId="0" fontId="0" fillId="47" borderId="0" xfId="13" applyFont="1" applyFill="1" applyAlignment="1">
      <alignment horizontal="center" vertical="center"/>
    </xf>
    <xf numFmtId="9" fontId="0" fillId="47" borderId="0" xfId="15" applyFont="1" applyFill="1" applyBorder="1" applyAlignment="1" applyProtection="1">
      <alignment horizontal="center" vertical="center"/>
    </xf>
    <xf numFmtId="9" fontId="0" fillId="47" borderId="0" xfId="14" applyFont="1" applyFill="1" applyBorder="1" applyAlignment="1" applyProtection="1">
      <alignment horizontal="center" vertical="center"/>
    </xf>
    <xf numFmtId="9" fontId="127" fillId="47" borderId="0" xfId="14" applyFont="1" applyFill="1" applyBorder="1" applyAlignment="1" applyProtection="1">
      <alignment horizontal="center" vertical="center"/>
    </xf>
    <xf numFmtId="0" fontId="11" fillId="22" borderId="0" xfId="13" applyFill="1" applyAlignment="1">
      <alignment horizontal="right" wrapText="1"/>
    </xf>
    <xf numFmtId="0" fontId="90" fillId="0" borderId="0" xfId="0" applyFont="1" applyAlignment="1">
      <alignment vertical="top"/>
    </xf>
    <xf numFmtId="0" fontId="132" fillId="3" borderId="0" xfId="13" applyFont="1" applyFill="1" applyAlignment="1">
      <alignment horizontal="left" wrapText="1"/>
    </xf>
    <xf numFmtId="0" fontId="108" fillId="3" borderId="0" xfId="0" applyFont="1" applyFill="1" applyAlignment="1">
      <alignment horizontal="right"/>
    </xf>
    <xf numFmtId="0" fontId="124" fillId="37" borderId="0" xfId="13" applyFont="1" applyFill="1" applyAlignment="1">
      <alignment horizontal="left" vertical="top"/>
    </xf>
    <xf numFmtId="0" fontId="124" fillId="42" borderId="0" xfId="13" applyFont="1" applyFill="1" applyAlignment="1">
      <alignment horizontal="left" vertical="top"/>
    </xf>
    <xf numFmtId="0" fontId="124" fillId="3" borderId="0" xfId="13" applyFont="1" applyFill="1" applyAlignment="1">
      <alignment horizontal="left" vertical="top"/>
    </xf>
    <xf numFmtId="0" fontId="133" fillId="45" borderId="0" xfId="0" applyFont="1" applyFill="1" applyAlignment="1">
      <alignment horizontal="left"/>
    </xf>
    <xf numFmtId="0" fontId="52" fillId="3" borderId="0" xfId="13" applyFont="1" applyFill="1" applyAlignment="1">
      <alignment vertical="center"/>
    </xf>
    <xf numFmtId="0" fontId="136" fillId="49" borderId="0" xfId="13" applyFont="1" applyFill="1" applyAlignment="1">
      <alignment horizontal="left" vertical="top" wrapText="1"/>
    </xf>
    <xf numFmtId="0" fontId="137" fillId="49" borderId="0" xfId="0" applyFont="1" applyFill="1"/>
    <xf numFmtId="0" fontId="138" fillId="49" borderId="0" xfId="1" applyFont="1" applyFill="1" applyAlignment="1">
      <alignment horizontal="right" vertical="top"/>
    </xf>
    <xf numFmtId="0" fontId="122" fillId="0" borderId="0" xfId="0" applyFont="1"/>
    <xf numFmtId="0" fontId="124" fillId="17" borderId="0" xfId="13" applyFont="1" applyFill="1" applyAlignment="1">
      <alignment horizontal="left" vertical="top"/>
    </xf>
    <xf numFmtId="0" fontId="35" fillId="0" borderId="0" xfId="13" applyFont="1"/>
    <xf numFmtId="49" fontId="0" fillId="0" borderId="0" xfId="0" applyNumberFormat="1"/>
    <xf numFmtId="0" fontId="75" fillId="3" borderId="0" xfId="13" applyFont="1" applyFill="1"/>
    <xf numFmtId="0" fontId="144" fillId="0" borderId="0" xfId="0" applyFont="1"/>
    <xf numFmtId="2" fontId="96" fillId="0" borderId="0" xfId="0" applyNumberFormat="1" applyFont="1" applyAlignment="1">
      <alignment horizontal="right" vertical="center" wrapText="1"/>
    </xf>
    <xf numFmtId="194" fontId="102" fillId="0" borderId="0" xfId="0" applyNumberFormat="1" applyFont="1" applyAlignment="1">
      <alignment horizontal="center" vertical="top"/>
    </xf>
    <xf numFmtId="0" fontId="122" fillId="3" borderId="0" xfId="0" applyFont="1" applyFill="1"/>
    <xf numFmtId="0" fontId="9" fillId="0" borderId="0" xfId="13" applyFont="1" applyAlignment="1">
      <alignment horizontal="left" vertical="center" indent="1"/>
    </xf>
    <xf numFmtId="0" fontId="124" fillId="0" borderId="0" xfId="13" applyFont="1" applyAlignment="1">
      <alignment horizontal="left" wrapText="1"/>
    </xf>
    <xf numFmtId="0" fontId="0" fillId="0" borderId="0" xfId="13" applyFont="1" applyAlignment="1">
      <alignment horizontal="center" vertical="center"/>
    </xf>
    <xf numFmtId="0" fontId="0" fillId="0" borderId="0" xfId="13" applyFont="1" applyAlignment="1">
      <alignment vertical="center"/>
    </xf>
    <xf numFmtId="0" fontId="0" fillId="0" borderId="0" xfId="13" applyFont="1" applyAlignment="1">
      <alignment horizontal="right" vertical="center"/>
    </xf>
    <xf numFmtId="0" fontId="0" fillId="0" borderId="0" xfId="13" applyFont="1" applyAlignment="1">
      <alignment horizontal="left" vertical="center"/>
    </xf>
    <xf numFmtId="1" fontId="5" fillId="0" borderId="0" xfId="13" applyNumberFormat="1" applyFont="1" applyAlignment="1" applyProtection="1">
      <alignment horizontal="right" vertical="center"/>
      <protection locked="0"/>
    </xf>
    <xf numFmtId="1" fontId="5" fillId="0" borderId="0" xfId="13" applyNumberFormat="1" applyFont="1" applyAlignment="1">
      <alignment horizontal="left" vertical="center"/>
    </xf>
    <xf numFmtId="9" fontId="0" fillId="0" borderId="0" xfId="15" applyFont="1" applyFill="1" applyBorder="1" applyAlignment="1" applyProtection="1">
      <alignment horizontal="center" vertical="center"/>
    </xf>
    <xf numFmtId="0" fontId="99" fillId="0" borderId="0" xfId="13" applyFont="1" applyAlignment="1">
      <alignment horizontal="left" vertical="top" wrapText="1"/>
    </xf>
    <xf numFmtId="0" fontId="93" fillId="0" borderId="0" xfId="13" applyFont="1" applyAlignment="1">
      <alignment horizontal="left" vertical="top" wrapText="1"/>
    </xf>
    <xf numFmtId="0" fontId="104" fillId="50" borderId="0" xfId="0" applyFont="1" applyFill="1" applyAlignment="1">
      <alignment horizontal="center" vertical="center" wrapText="1"/>
    </xf>
    <xf numFmtId="0" fontId="9" fillId="51" borderId="0" xfId="13" applyFont="1" applyFill="1" applyAlignment="1">
      <alignment horizontal="left" vertical="center" indent="1"/>
    </xf>
    <xf numFmtId="0" fontId="124" fillId="51" borderId="0" xfId="13" applyFont="1" applyFill="1" applyAlignment="1">
      <alignment horizontal="left" wrapText="1"/>
    </xf>
    <xf numFmtId="0" fontId="11" fillId="51" borderId="0" xfId="0" applyFont="1" applyFill="1"/>
    <xf numFmtId="0" fontId="11" fillId="51" borderId="0" xfId="13" applyFill="1" applyAlignment="1">
      <alignment horizontal="center" vertical="center"/>
    </xf>
    <xf numFmtId="0" fontId="11" fillId="51" borderId="0" xfId="13" applyFill="1" applyAlignment="1">
      <alignment vertical="center"/>
    </xf>
    <xf numFmtId="0" fontId="11" fillId="51" borderId="0" xfId="13" applyFill="1" applyAlignment="1">
      <alignment horizontal="right" vertical="center"/>
    </xf>
    <xf numFmtId="0" fontId="11" fillId="51" borderId="0" xfId="13" applyFill="1" applyAlignment="1">
      <alignment horizontal="left" vertical="center"/>
    </xf>
    <xf numFmtId="1" fontId="5" fillId="51" borderId="0" xfId="13" applyNumberFormat="1" applyFont="1" applyFill="1" applyAlignment="1" applyProtection="1">
      <alignment horizontal="right" vertical="center"/>
      <protection locked="0"/>
    </xf>
    <xf numFmtId="1" fontId="5" fillId="51" borderId="0" xfId="13" applyNumberFormat="1" applyFont="1" applyFill="1" applyAlignment="1">
      <alignment horizontal="left" vertical="center"/>
    </xf>
    <xf numFmtId="9" fontId="11" fillId="51" borderId="0" xfId="15" applyFont="1" applyFill="1" applyBorder="1" applyAlignment="1" applyProtection="1">
      <alignment horizontal="center" vertical="center"/>
    </xf>
    <xf numFmtId="9" fontId="11" fillId="51" borderId="0" xfId="14" applyFont="1" applyFill="1" applyBorder="1" applyAlignment="1" applyProtection="1">
      <alignment horizontal="center" vertical="center"/>
    </xf>
    <xf numFmtId="0" fontId="10" fillId="50" borderId="0" xfId="0" applyFont="1" applyFill="1" applyAlignment="1">
      <alignment horizontal="left" vertical="center" wrapText="1"/>
    </xf>
    <xf numFmtId="181" fontId="123" fillId="50" borderId="34" xfId="13" applyNumberFormat="1" applyFont="1" applyFill="1" applyBorder="1" applyAlignment="1">
      <alignment horizontal="center"/>
    </xf>
    <xf numFmtId="0" fontId="9" fillId="50" borderId="34" xfId="13" applyFont="1" applyFill="1" applyBorder="1" applyAlignment="1">
      <alignment horizontal="center"/>
    </xf>
    <xf numFmtId="0" fontId="11" fillId="0" borderId="0" xfId="0" applyFont="1"/>
    <xf numFmtId="0" fontId="11" fillId="0" borderId="0" xfId="13" applyAlignment="1">
      <alignment horizontal="center" vertical="center"/>
    </xf>
    <xf numFmtId="0" fontId="11" fillId="0" borderId="0" xfId="13" applyAlignment="1">
      <alignment vertical="center"/>
    </xf>
    <xf numFmtId="0" fontId="11" fillId="0" borderId="0" xfId="13" applyAlignment="1">
      <alignment horizontal="right" vertical="center"/>
    </xf>
    <xf numFmtId="0" fontId="11" fillId="0" borderId="0" xfId="13" applyAlignment="1">
      <alignment horizontal="left" vertical="center"/>
    </xf>
    <xf numFmtId="9" fontId="11" fillId="0" borderId="0" xfId="15" applyFont="1" applyFill="1" applyBorder="1" applyAlignment="1" applyProtection="1">
      <alignment horizontal="center" vertical="center"/>
    </xf>
    <xf numFmtId="9" fontId="11" fillId="0" borderId="0" xfId="14" applyFont="1" applyFill="1" applyBorder="1" applyAlignment="1" applyProtection="1">
      <alignment horizontal="center" vertical="center"/>
    </xf>
    <xf numFmtId="0" fontId="5" fillId="0" borderId="0" xfId="0" applyFont="1" applyAlignment="1">
      <alignment horizontal="left"/>
    </xf>
    <xf numFmtId="164" fontId="5" fillId="0" borderId="0" xfId="13" applyNumberFormat="1" applyFont="1" applyAlignment="1">
      <alignment horizontal="left" vertical="center"/>
    </xf>
    <xf numFmtId="0" fontId="121" fillId="8" borderId="0" xfId="1" applyFont="1" applyFill="1" applyAlignment="1">
      <alignment horizontal="left" vertical="center" wrapText="1"/>
    </xf>
    <xf numFmtId="0" fontId="104" fillId="0" borderId="0" xfId="0" applyFont="1" applyAlignment="1">
      <alignment horizontal="center" vertical="center" wrapText="1"/>
    </xf>
    <xf numFmtId="0" fontId="143" fillId="0" borderId="0" xfId="0" applyFont="1" applyAlignment="1">
      <alignment horizontal="left" vertical="top" wrapText="1"/>
    </xf>
    <xf numFmtId="0" fontId="119" fillId="0" borderId="0" xfId="0" applyFont="1" applyAlignment="1">
      <alignment horizontal="left" vertical="top" wrapText="1"/>
    </xf>
    <xf numFmtId="0" fontId="139" fillId="11" borderId="35" xfId="0" applyFont="1" applyFill="1" applyBorder="1" applyAlignment="1">
      <alignment horizontal="left" wrapText="1"/>
    </xf>
    <xf numFmtId="0" fontId="139" fillId="11" borderId="36" xfId="0" applyFont="1" applyFill="1" applyBorder="1" applyAlignment="1">
      <alignment horizontal="left" wrapText="1"/>
    </xf>
    <xf numFmtId="0" fontId="15" fillId="0" borderId="0" xfId="13" applyFont="1" applyAlignment="1">
      <alignment horizontal="left" vertical="top"/>
    </xf>
    <xf numFmtId="0" fontId="82" fillId="32" borderId="0" xfId="13" applyFont="1" applyFill="1" applyAlignment="1">
      <alignment horizontal="left" vertical="center" wrapText="1"/>
    </xf>
    <xf numFmtId="2" fontId="96" fillId="11" borderId="0" xfId="0" applyNumberFormat="1" applyFont="1" applyFill="1" applyAlignment="1">
      <alignment horizontal="right" vertical="center" wrapText="1"/>
    </xf>
    <xf numFmtId="164" fontId="125" fillId="48" borderId="0" xfId="13" applyNumberFormat="1" applyFont="1" applyFill="1" applyAlignment="1">
      <alignment horizontal="center" vertical="center"/>
    </xf>
    <xf numFmtId="164" fontId="125" fillId="41" borderId="0" xfId="13" applyNumberFormat="1" applyFont="1" applyFill="1" applyAlignment="1">
      <alignment horizontal="center" vertical="center"/>
    </xf>
    <xf numFmtId="0" fontId="8" fillId="36" borderId="0" xfId="13" applyFont="1" applyFill="1" applyAlignment="1">
      <alignment horizontal="center"/>
    </xf>
    <xf numFmtId="181" fontId="9" fillId="36" borderId="0" xfId="13" applyNumberFormat="1" applyFont="1" applyFill="1" applyAlignment="1">
      <alignment horizontal="center"/>
    </xf>
    <xf numFmtId="0" fontId="125" fillId="39" borderId="0" xfId="13" applyFont="1" applyFill="1" applyAlignment="1">
      <alignment horizontal="center" vertical="center"/>
    </xf>
    <xf numFmtId="0" fontId="93" fillId="3" borderId="0" xfId="13" applyFont="1" applyFill="1" applyAlignment="1">
      <alignment horizontal="left" vertical="top" wrapText="1"/>
    </xf>
    <xf numFmtId="0" fontId="125" fillId="38" borderId="0" xfId="13" applyFont="1" applyFill="1" applyAlignment="1">
      <alignment horizontal="center" vertical="center"/>
    </xf>
    <xf numFmtId="0" fontId="127" fillId="46" borderId="0" xfId="13" applyFont="1" applyFill="1" applyAlignment="1">
      <alignment horizontal="center" vertical="center"/>
    </xf>
    <xf numFmtId="0" fontId="128" fillId="8" borderId="0" xfId="13" applyFont="1" applyFill="1" applyAlignment="1">
      <alignment horizontal="right" vertical="top" wrapText="1"/>
    </xf>
    <xf numFmtId="0" fontId="139" fillId="11" borderId="0" xfId="0" applyFont="1" applyFill="1" applyAlignment="1">
      <alignment horizontal="left" wrapText="1"/>
    </xf>
    <xf numFmtId="0" fontId="139" fillId="11" borderId="38" xfId="0" applyFont="1" applyFill="1" applyBorder="1" applyAlignment="1">
      <alignment horizontal="left" wrapText="1"/>
    </xf>
    <xf numFmtId="203" fontId="135" fillId="49" borderId="0" xfId="0" applyNumberFormat="1" applyFont="1" applyFill="1" applyAlignment="1">
      <alignment horizontal="center"/>
    </xf>
    <xf numFmtId="195" fontId="101" fillId="3" borderId="0" xfId="0" applyNumberFormat="1" applyFont="1" applyFill="1" applyAlignment="1">
      <alignment horizontal="center" vertical="center"/>
    </xf>
    <xf numFmtId="193" fontId="96" fillId="3" borderId="0" xfId="0" applyNumberFormat="1" applyFont="1" applyFill="1" applyAlignment="1">
      <alignment horizontal="center"/>
    </xf>
    <xf numFmtId="194" fontId="102" fillId="3" borderId="0" xfId="0" applyNumberFormat="1" applyFont="1" applyFill="1" applyAlignment="1">
      <alignment horizontal="center" vertical="top"/>
    </xf>
    <xf numFmtId="0" fontId="122" fillId="3" borderId="0" xfId="0" applyFont="1" applyFill="1" applyAlignment="1">
      <alignment horizontal="center"/>
    </xf>
    <xf numFmtId="0" fontId="122" fillId="0" borderId="0" xfId="0" applyFont="1" applyAlignment="1">
      <alignment horizontal="center"/>
    </xf>
    <xf numFmtId="9" fontId="0" fillId="18" borderId="0" xfId="14" applyFont="1" applyFill="1" applyBorder="1" applyAlignment="1" applyProtection="1">
      <alignment horizontal="center" vertical="center"/>
    </xf>
    <xf numFmtId="0" fontId="82" fillId="32" borderId="37" xfId="13" applyFont="1" applyFill="1" applyBorder="1" applyAlignment="1">
      <alignment horizontal="center"/>
    </xf>
    <xf numFmtId="0" fontId="82" fillId="32" borderId="38" xfId="13" applyFont="1" applyFill="1" applyBorder="1" applyAlignment="1">
      <alignment horizontal="center"/>
    </xf>
    <xf numFmtId="0" fontId="82" fillId="32" borderId="0" xfId="13" applyFont="1" applyFill="1" applyAlignment="1">
      <alignment horizontal="center"/>
    </xf>
    <xf numFmtId="0" fontId="148" fillId="8" borderId="0" xfId="1" applyFont="1" applyFill="1" applyAlignment="1">
      <alignment horizontal="center"/>
    </xf>
    <xf numFmtId="0" fontId="9" fillId="37" borderId="0" xfId="13" applyFont="1" applyFill="1" applyAlignment="1">
      <alignment horizontal="center" vertical="center"/>
    </xf>
    <xf numFmtId="0" fontId="0" fillId="3" borderId="0" xfId="13" applyFont="1" applyFill="1" applyAlignment="1">
      <alignment horizontal="center" wrapText="1"/>
    </xf>
    <xf numFmtId="0" fontId="98" fillId="0" borderId="0" xfId="13" applyFont="1" applyAlignment="1">
      <alignment horizontal="center" vertical="center" wrapText="1"/>
    </xf>
    <xf numFmtId="196" fontId="135" fillId="49" borderId="0" xfId="0" applyNumberFormat="1" applyFont="1" applyFill="1" applyAlignment="1">
      <alignment horizontal="center" vertical="center"/>
    </xf>
    <xf numFmtId="49" fontId="8" fillId="35" borderId="0" xfId="0" applyNumberFormat="1" applyFont="1" applyFill="1" applyAlignment="1">
      <alignment horizontal="center" vertical="center" wrapText="1"/>
    </xf>
    <xf numFmtId="201" fontId="52" fillId="22" borderId="0" xfId="13" applyNumberFormat="1" applyFont="1" applyFill="1" applyAlignment="1">
      <alignment vertical="center"/>
    </xf>
    <xf numFmtId="202" fontId="52" fillId="22" borderId="0" xfId="13" applyNumberFormat="1" applyFont="1" applyFill="1" applyAlignment="1">
      <alignment horizontal="left" vertical="center"/>
    </xf>
    <xf numFmtId="0" fontId="8" fillId="0" borderId="0" xfId="0" applyFont="1" applyAlignment="1">
      <alignment horizontal="left" vertical="center"/>
    </xf>
    <xf numFmtId="0" fontId="8" fillId="35" borderId="0" xfId="0" applyFont="1" applyFill="1" applyAlignment="1">
      <alignment horizontal="left" vertical="center"/>
    </xf>
    <xf numFmtId="2" fontId="52" fillId="12" borderId="0" xfId="13" applyNumberFormat="1" applyFont="1" applyFill="1" applyAlignment="1" applyProtection="1">
      <alignment horizontal="center" vertical="center"/>
      <protection locked="0"/>
    </xf>
    <xf numFmtId="0" fontId="82" fillId="32" borderId="0" xfId="13" applyFont="1" applyFill="1" applyAlignment="1">
      <alignment horizontal="left" vertical="center"/>
    </xf>
    <xf numFmtId="0" fontId="52" fillId="23" borderId="0" xfId="13" applyFont="1" applyFill="1" applyAlignment="1">
      <alignment vertical="center"/>
    </xf>
    <xf numFmtId="191" fontId="11" fillId="23" borderId="0" xfId="13" applyNumberFormat="1" applyFill="1" applyAlignment="1">
      <alignment horizontal="left" vertical="center"/>
    </xf>
    <xf numFmtId="192" fontId="96" fillId="23" borderId="0" xfId="13" applyNumberFormat="1" applyFont="1" applyFill="1" applyAlignment="1">
      <alignment horizontal="left" vertical="center"/>
    </xf>
    <xf numFmtId="0" fontId="52" fillId="12" borderId="0" xfId="13" applyFont="1" applyFill="1" applyAlignment="1" applyProtection="1">
      <alignment vertical="center"/>
      <protection locked="0"/>
    </xf>
    <xf numFmtId="0" fontId="0" fillId="18" borderId="0" xfId="13" applyFont="1" applyFill="1" applyAlignment="1">
      <alignment horizontal="center" vertical="center"/>
    </xf>
    <xf numFmtId="0" fontId="8" fillId="19" borderId="0" xfId="13" applyFont="1" applyFill="1" applyAlignment="1">
      <alignment horizontal="center"/>
    </xf>
    <xf numFmtId="0" fontId="11" fillId="45" borderId="0" xfId="13" applyFill="1" applyAlignment="1">
      <alignment horizontal="left" vertical="center" indent="1"/>
    </xf>
    <xf numFmtId="0" fontId="52" fillId="12" borderId="0" xfId="13" applyFont="1" applyFill="1" applyAlignment="1" applyProtection="1">
      <alignment horizontal="center" vertical="center"/>
      <protection locked="0"/>
    </xf>
    <xf numFmtId="0" fontId="0" fillId="3" borderId="0" xfId="13" applyFont="1" applyFill="1" applyAlignment="1">
      <alignment horizontal="center"/>
    </xf>
    <xf numFmtId="2" fontId="82" fillId="32" borderId="0" xfId="0" applyNumberFormat="1" applyFont="1" applyFill="1" applyAlignment="1">
      <alignment horizontal="left" vertical="center" wrapText="1"/>
    </xf>
    <xf numFmtId="0" fontId="0" fillId="39" borderId="0" xfId="13" applyFont="1" applyFill="1" applyAlignment="1">
      <alignment horizontal="center" vertical="center"/>
    </xf>
    <xf numFmtId="0" fontId="0" fillId="39" borderId="0" xfId="13" applyFont="1" applyFill="1" applyAlignment="1">
      <alignment horizontal="right" vertical="center"/>
    </xf>
    <xf numFmtId="164" fontId="0" fillId="37" borderId="0" xfId="13" applyNumberFormat="1" applyFont="1" applyFill="1" applyAlignment="1">
      <alignment horizontal="center" vertical="center"/>
    </xf>
    <xf numFmtId="0" fontId="12" fillId="0" borderId="0" xfId="0" applyFont="1" applyAlignment="1">
      <alignment wrapText="1"/>
    </xf>
    <xf numFmtId="0" fontId="12" fillId="0" borderId="0" xfId="0" applyFont="1" applyAlignment="1"/>
    <xf numFmtId="0" fontId="5" fillId="41" borderId="0" xfId="13" applyFont="1" applyFill="1" applyAlignment="1">
      <alignment horizontal="center" vertical="center"/>
    </xf>
    <xf numFmtId="9" fontId="0" fillId="45" borderId="0" xfId="14" applyFont="1" applyFill="1" applyBorder="1" applyAlignment="1" applyProtection="1">
      <alignment horizontal="center" vertical="center"/>
    </xf>
    <xf numFmtId="9" fontId="0" fillId="45" borderId="0" xfId="15" applyFont="1" applyFill="1" applyBorder="1" applyAlignment="1" applyProtection="1">
      <alignment horizontal="center" vertical="center"/>
    </xf>
    <xf numFmtId="0" fontId="8" fillId="14" borderId="0" xfId="13" applyFont="1" applyFill="1" applyAlignment="1">
      <alignment horizontal="center"/>
    </xf>
    <xf numFmtId="0" fontId="9" fillId="14" borderId="0" xfId="13" applyFont="1" applyFill="1" applyAlignment="1">
      <alignment horizontal="center" wrapText="1"/>
    </xf>
    <xf numFmtId="0" fontId="110" fillId="3" borderId="0" xfId="13" applyFont="1" applyFill="1" applyAlignment="1">
      <alignment vertical="center" wrapText="1"/>
    </xf>
    <xf numFmtId="0" fontId="20" fillId="3" borderId="0" xfId="13" applyFont="1" applyFill="1" applyAlignment="1">
      <alignment vertical="top" wrapText="1"/>
    </xf>
    <xf numFmtId="181" fontId="9" fillId="19" borderId="0" xfId="13" applyNumberFormat="1" applyFont="1" applyFill="1" applyAlignment="1">
      <alignment horizontal="center"/>
    </xf>
    <xf numFmtId="0" fontId="124" fillId="3" borderId="0" xfId="13" applyFont="1" applyFill="1" applyAlignment="1">
      <alignment horizontal="center" wrapText="1"/>
    </xf>
    <xf numFmtId="0" fontId="20" fillId="3" borderId="0" xfId="13" applyFont="1" applyFill="1" applyAlignment="1">
      <alignment horizontal="left" vertical="top" wrapText="1"/>
    </xf>
    <xf numFmtId="164" fontId="5" fillId="12" borderId="39" xfId="13" applyNumberFormat="1" applyFont="1" applyFill="1" applyBorder="1" applyAlignment="1" applyProtection="1">
      <alignment horizontal="center" vertical="center"/>
      <protection locked="0"/>
    </xf>
    <xf numFmtId="164" fontId="5" fillId="12" borderId="0" xfId="13" applyNumberFormat="1" applyFont="1" applyFill="1" applyAlignment="1" applyProtection="1">
      <alignment horizontal="center" vertical="center"/>
      <protection locked="0"/>
    </xf>
    <xf numFmtId="164" fontId="5" fillId="40" borderId="39" xfId="13" applyNumberFormat="1" applyFont="1" applyFill="1" applyBorder="1" applyAlignment="1">
      <alignment horizontal="left" vertical="center"/>
    </xf>
    <xf numFmtId="164" fontId="5" fillId="40" borderId="0" xfId="13" applyNumberFormat="1" applyFont="1" applyFill="1" applyAlignment="1">
      <alignment horizontal="left" vertical="center"/>
    </xf>
    <xf numFmtId="0" fontId="10" fillId="50" borderId="0" xfId="0" applyFont="1" applyFill="1" applyAlignment="1">
      <alignment horizontal="center" vertical="center" wrapText="1"/>
    </xf>
    <xf numFmtId="0" fontId="10" fillId="50" borderId="36" xfId="0" applyFont="1" applyFill="1" applyBorder="1" applyAlignment="1">
      <alignment horizontal="center" vertical="center" wrapText="1"/>
    </xf>
    <xf numFmtId="2" fontId="147" fillId="0" borderId="0" xfId="16" applyNumberFormat="1" applyFill="1" applyAlignment="1" applyProtection="1">
      <alignment horizontal="center" vertical="center" wrapText="1"/>
      <protection locked="0"/>
    </xf>
    <xf numFmtId="9" fontId="0" fillId="37" borderId="0" xfId="15" applyFont="1" applyFill="1" applyBorder="1" applyAlignment="1" applyProtection="1">
      <alignment horizontal="center" vertical="center"/>
    </xf>
    <xf numFmtId="9" fontId="0" fillId="39" borderId="0" xfId="14" applyFont="1" applyFill="1" applyBorder="1" applyAlignment="1" applyProtection="1">
      <alignment horizontal="center" vertical="center"/>
    </xf>
    <xf numFmtId="9" fontId="0" fillId="37" borderId="0" xfId="14" applyFont="1" applyFill="1" applyBorder="1" applyAlignment="1" applyProtection="1">
      <alignment horizontal="center" vertical="center"/>
    </xf>
    <xf numFmtId="0" fontId="124" fillId="37" borderId="0" xfId="13" applyFont="1" applyFill="1" applyAlignment="1">
      <alignment horizontal="center" wrapText="1"/>
    </xf>
    <xf numFmtId="0" fontId="21" fillId="3" borderId="0" xfId="1" applyFont="1" applyFill="1" applyAlignment="1">
      <alignment horizontal="center"/>
    </xf>
    <xf numFmtId="0" fontId="21" fillId="3" borderId="0" xfId="1" applyFont="1" applyFill="1" applyAlignment="1"/>
    <xf numFmtId="0" fontId="25" fillId="20" borderId="0" xfId="1" applyFont="1" applyFill="1" applyAlignment="1">
      <alignment horizontal="center" vertical="center" wrapText="1"/>
    </xf>
    <xf numFmtId="0" fontId="38" fillId="5" borderId="0" xfId="1" applyFont="1" applyFill="1" applyAlignment="1">
      <alignment horizontal="left" vertical="center"/>
    </xf>
    <xf numFmtId="186" fontId="18" fillId="3" borderId="0" xfId="1" applyNumberFormat="1" applyFont="1" applyFill="1" applyAlignment="1">
      <alignment horizontal="left" vertical="center"/>
    </xf>
    <xf numFmtId="187" fontId="18" fillId="3" borderId="0" xfId="1" applyNumberFormat="1" applyFont="1" applyFill="1" applyAlignment="1">
      <alignment horizontal="left" vertical="center"/>
    </xf>
    <xf numFmtId="185" fontId="18" fillId="3" borderId="0" xfId="1" applyNumberFormat="1" applyFont="1" applyFill="1" applyAlignment="1">
      <alignment horizontal="left" vertical="center"/>
    </xf>
    <xf numFmtId="0" fontId="50" fillId="3" borderId="0" xfId="0" quotePrefix="1" applyFont="1" applyFill="1" applyAlignment="1">
      <alignment horizontal="left" vertical="top"/>
    </xf>
    <xf numFmtId="0" fontId="50" fillId="3" borderId="0" xfId="0" applyFont="1" applyFill="1" applyAlignment="1">
      <alignment horizontal="left" vertical="top"/>
    </xf>
    <xf numFmtId="0" fontId="6" fillId="7" borderId="0" xfId="0" applyFont="1" applyFill="1" applyAlignment="1">
      <alignment horizontal="center" vertical="center" wrapText="1"/>
    </xf>
    <xf numFmtId="0" fontId="92" fillId="3" borderId="0" xfId="0" applyFont="1" applyFill="1" applyAlignment="1">
      <alignment horizontal="center" vertical="top" wrapText="1"/>
    </xf>
    <xf numFmtId="189" fontId="49" fillId="9" borderId="0" xfId="0" applyNumberFormat="1" applyFont="1" applyFill="1" applyAlignment="1">
      <alignment horizontal="center" vertical="center"/>
    </xf>
    <xf numFmtId="173" fontId="6" fillId="7" borderId="0" xfId="0" applyNumberFormat="1" applyFont="1" applyFill="1" applyAlignment="1">
      <alignment horizontal="left"/>
    </xf>
    <xf numFmtId="171" fontId="13" fillId="3" borderId="9" xfId="0" applyNumberFormat="1" applyFont="1" applyFill="1" applyBorder="1" applyAlignment="1">
      <alignment horizontal="center" vertical="center"/>
    </xf>
    <xf numFmtId="167" fontId="13" fillId="3" borderId="7" xfId="0" applyNumberFormat="1" applyFont="1" applyFill="1" applyBorder="1" applyAlignment="1">
      <alignment horizontal="center" vertical="center"/>
    </xf>
    <xf numFmtId="0" fontId="6" fillId="3" borderId="11" xfId="0" applyFont="1" applyFill="1" applyBorder="1" applyAlignment="1">
      <alignment horizontal="center"/>
    </xf>
    <xf numFmtId="168" fontId="6" fillId="7" borderId="0" xfId="0" applyNumberFormat="1" applyFont="1" applyFill="1" applyAlignment="1"/>
    <xf numFmtId="0" fontId="65" fillId="0" borderId="0" xfId="1" applyFont="1" applyAlignment="1">
      <alignment horizontal="center" vertical="center"/>
    </xf>
    <xf numFmtId="165" fontId="36" fillId="4" borderId="0" xfId="1" applyNumberFormat="1" applyFont="1" applyFill="1" applyAlignment="1">
      <alignment horizontal="left" vertical="center"/>
    </xf>
    <xf numFmtId="166" fontId="41" fillId="3" borderId="0" xfId="1" applyNumberFormat="1" applyFont="1" applyFill="1" applyAlignment="1">
      <alignment horizontal="left" vertical="center"/>
    </xf>
    <xf numFmtId="166" fontId="41" fillId="4" borderId="0" xfId="1" applyNumberFormat="1" applyFont="1" applyFill="1" applyAlignment="1">
      <alignment horizontal="left" vertical="center"/>
    </xf>
    <xf numFmtId="2" fontId="111" fillId="32" borderId="0" xfId="0" applyNumberFormat="1" applyFont="1" applyFill="1" applyAlignment="1">
      <alignment horizontal="left" vertical="top" wrapText="1"/>
    </xf>
    <xf numFmtId="0" fontId="113" fillId="11" borderId="0" xfId="0" applyFont="1" applyFill="1" applyAlignment="1">
      <alignment horizontal="left" vertical="center" indent="1"/>
    </xf>
    <xf numFmtId="188" fontId="41" fillId="4" borderId="0" xfId="1" applyNumberFormat="1" applyFont="1" applyFill="1" applyAlignment="1">
      <alignment horizontal="left" vertical="center"/>
    </xf>
    <xf numFmtId="166" fontId="42" fillId="3" borderId="0" xfId="1" applyNumberFormat="1" applyFont="1" applyFill="1" applyAlignment="1">
      <alignment horizontal="left" vertical="center"/>
    </xf>
    <xf numFmtId="0" fontId="37" fillId="21" borderId="24" xfId="1" applyFont="1" applyFill="1" applyBorder="1" applyAlignment="1">
      <alignment horizontal="center" vertical="top" wrapText="1"/>
    </xf>
    <xf numFmtId="0" fontId="37" fillId="21" borderId="25" xfId="1" applyFont="1" applyFill="1" applyBorder="1" applyAlignment="1">
      <alignment horizontal="center" vertical="top" wrapText="1"/>
    </xf>
    <xf numFmtId="0" fontId="37" fillId="21" borderId="26" xfId="1" applyFont="1" applyFill="1" applyBorder="1" applyAlignment="1">
      <alignment horizontal="center" vertical="top" wrapText="1"/>
    </xf>
    <xf numFmtId="0" fontId="1" fillId="6" borderId="0" xfId="1" applyFont="1" applyFill="1" applyAlignment="1">
      <alignment horizontal="left" vertical="center"/>
    </xf>
    <xf numFmtId="0" fontId="53" fillId="21" borderId="19" xfId="1" applyFont="1" applyFill="1" applyBorder="1" applyAlignment="1">
      <alignment horizontal="center" vertical="center"/>
    </xf>
    <xf numFmtId="0" fontId="53" fillId="21" borderId="20" xfId="1" applyFont="1" applyFill="1" applyBorder="1" applyAlignment="1">
      <alignment horizontal="center" vertical="center"/>
    </xf>
    <xf numFmtId="0" fontId="53" fillId="21" borderId="21" xfId="1" applyFont="1" applyFill="1" applyBorder="1" applyAlignment="1">
      <alignment horizontal="center" vertical="center"/>
    </xf>
    <xf numFmtId="190" fontId="61" fillId="3" borderId="0" xfId="1" applyNumberFormat="1" applyFont="1" applyFill="1" applyAlignment="1">
      <alignment horizontal="center"/>
    </xf>
    <xf numFmtId="0" fontId="50" fillId="3" borderId="0" xfId="0" quotePrefix="1" applyFont="1" applyFill="1" applyAlignment="1">
      <alignment horizontal="left"/>
    </xf>
    <xf numFmtId="0" fontId="50" fillId="3" borderId="0" xfId="0" applyFont="1" applyFill="1" applyAlignment="1">
      <alignment horizontal="left"/>
    </xf>
    <xf numFmtId="0" fontId="21" fillId="0" borderId="0" xfId="1" applyFont="1" applyAlignment="1">
      <alignment horizontal="center"/>
    </xf>
    <xf numFmtId="171" fontId="13" fillId="3" borderId="29" xfId="0" applyNumberFormat="1" applyFont="1" applyFill="1" applyBorder="1" applyAlignment="1">
      <alignment horizontal="center" vertical="center"/>
    </xf>
    <xf numFmtId="0" fontId="37" fillId="9" borderId="0" xfId="1" applyFont="1" applyFill="1" applyAlignment="1">
      <alignment horizontal="left" vertical="top" wrapText="1" indent="1"/>
    </xf>
    <xf numFmtId="170" fontId="63" fillId="3" borderId="22" xfId="1" applyNumberFormat="1" applyFont="1" applyFill="1" applyBorder="1" applyAlignment="1">
      <alignment horizontal="center" vertical="top" wrapText="1"/>
    </xf>
    <xf numFmtId="170" fontId="63" fillId="3" borderId="0" xfId="1" applyNumberFormat="1" applyFont="1" applyFill="1" applyAlignment="1">
      <alignment horizontal="center" vertical="top" wrapText="1"/>
    </xf>
    <xf numFmtId="170" fontId="63" fillId="3" borderId="23" xfId="1" applyNumberFormat="1" applyFont="1" applyFill="1" applyBorder="1" applyAlignment="1">
      <alignment horizontal="center" vertical="top" wrapText="1"/>
    </xf>
    <xf numFmtId="2" fontId="57" fillId="3" borderId="2" xfId="0" applyNumberFormat="1" applyFont="1" applyFill="1" applyBorder="1" applyAlignment="1">
      <alignment horizontal="center" vertical="center"/>
    </xf>
    <xf numFmtId="0" fontId="48" fillId="10" borderId="13" xfId="1" applyFont="1" applyFill="1" applyBorder="1" applyAlignment="1">
      <alignment horizontal="center" vertical="center"/>
    </xf>
    <xf numFmtId="0" fontId="48" fillId="10" borderId="0" xfId="1" applyFont="1" applyFill="1" applyAlignment="1">
      <alignment horizontal="center" vertical="center"/>
    </xf>
    <xf numFmtId="0" fontId="1" fillId="2" borderId="0" xfId="1" applyFont="1" applyFill="1" applyAlignment="1">
      <alignment horizontal="left" vertical="center"/>
    </xf>
    <xf numFmtId="0" fontId="47" fillId="8" borderId="13" xfId="1" applyFont="1" applyFill="1" applyBorder="1" applyAlignment="1">
      <alignment horizontal="center" vertical="center"/>
    </xf>
    <xf numFmtId="0" fontId="47" fillId="8" borderId="0" xfId="1" applyFont="1" applyFill="1" applyAlignment="1">
      <alignment horizontal="center" vertical="center"/>
    </xf>
    <xf numFmtId="0" fontId="37" fillId="8" borderId="0" xfId="1" applyFont="1" applyFill="1" applyAlignment="1">
      <alignment horizontal="left" vertical="top" wrapText="1" indent="1"/>
    </xf>
    <xf numFmtId="166" fontId="36" fillId="4" borderId="0" xfId="1" applyNumberFormat="1" applyFont="1" applyFill="1" applyAlignment="1">
      <alignment horizontal="left" vertical="center"/>
    </xf>
    <xf numFmtId="182" fontId="39" fillId="3" borderId="0" xfId="1" applyNumberFormat="1" applyFont="1" applyFill="1" applyAlignment="1">
      <alignment horizontal="left" vertical="center"/>
    </xf>
    <xf numFmtId="0" fontId="65" fillId="0" borderId="0" xfId="0" applyFont="1" applyAlignment="1">
      <alignment horizontal="center" vertical="center"/>
    </xf>
    <xf numFmtId="0" fontId="37" fillId="3" borderId="0" xfId="1" applyFont="1" applyFill="1" applyAlignment="1">
      <alignment horizontal="left" vertical="top" wrapText="1"/>
    </xf>
    <xf numFmtId="0" fontId="22" fillId="11" borderId="0" xfId="1" applyFont="1" applyFill="1" applyAlignment="1">
      <alignment horizontal="left"/>
    </xf>
    <xf numFmtId="2" fontId="26" fillId="12" borderId="0" xfId="13" applyNumberFormat="1" applyFont="1" applyFill="1" applyAlignment="1" applyProtection="1">
      <alignment horizontal="center" vertical="center"/>
      <protection locked="0"/>
    </xf>
    <xf numFmtId="0" fontId="28" fillId="23" borderId="0" xfId="1" applyFont="1" applyFill="1" applyAlignment="1">
      <alignment horizontal="center"/>
    </xf>
    <xf numFmtId="166" fontId="42" fillId="4" borderId="0" xfId="1" applyNumberFormat="1" applyFont="1" applyFill="1" applyAlignment="1">
      <alignment horizontal="left" vertical="center"/>
    </xf>
    <xf numFmtId="0" fontId="112" fillId="8" borderId="13" xfId="1" applyFont="1" applyFill="1" applyBorder="1" applyAlignment="1">
      <alignment horizontal="left" vertical="center"/>
    </xf>
    <xf numFmtId="0" fontId="34" fillId="0" borderId="13" xfId="0" applyFont="1" applyBorder="1" applyAlignment="1">
      <alignment horizontal="left" vertical="center"/>
    </xf>
    <xf numFmtId="0" fontId="38" fillId="6" borderId="0" xfId="1" applyFont="1" applyFill="1" applyAlignment="1">
      <alignment horizontal="left" vertical="center"/>
    </xf>
    <xf numFmtId="0" fontId="46" fillId="3" borderId="0" xfId="1" applyFont="1" applyFill="1" applyAlignment="1">
      <alignment horizontal="left" vertical="center" wrapText="1"/>
    </xf>
    <xf numFmtId="177" fontId="29" fillId="22" borderId="0" xfId="1" applyNumberFormat="1" applyFont="1" applyFill="1" applyAlignment="1">
      <alignment horizontal="left" vertical="center"/>
    </xf>
    <xf numFmtId="178" fontId="64" fillId="22" borderId="0" xfId="1" applyNumberFormat="1" applyFont="1" applyFill="1" applyAlignment="1">
      <alignment horizontal="left" vertical="center"/>
    </xf>
    <xf numFmtId="0" fontId="25" fillId="25" borderId="0" xfId="1" applyFont="1" applyFill="1" applyAlignment="1">
      <alignment horizontal="center" vertical="center" wrapText="1"/>
    </xf>
    <xf numFmtId="0" fontId="21" fillId="0" borderId="0" xfId="1" applyFont="1" applyAlignment="1">
      <alignment horizontal="center" vertical="center"/>
    </xf>
    <xf numFmtId="0" fontId="13" fillId="3" borderId="0" xfId="0" applyFont="1" applyFill="1" applyAlignment="1">
      <alignment horizontal="center"/>
    </xf>
    <xf numFmtId="169" fontId="36" fillId="4" borderId="0" xfId="1" applyNumberFormat="1" applyFont="1" applyFill="1" applyAlignment="1">
      <alignment horizontal="left" vertical="center" wrapText="1"/>
    </xf>
    <xf numFmtId="0" fontId="117" fillId="3" borderId="0" xfId="1" applyFont="1" applyFill="1" applyAlignment="1">
      <alignment horizontal="left" vertical="top" wrapText="1"/>
    </xf>
    <xf numFmtId="165" fontId="41" fillId="3" borderId="0" xfId="1" applyNumberFormat="1" applyFont="1" applyFill="1" applyAlignment="1">
      <alignment horizontal="left" vertical="center"/>
    </xf>
    <xf numFmtId="0" fontId="65" fillId="0" borderId="0" xfId="1" applyFont="1" applyAlignment="1">
      <alignment horizontal="center" vertical="top" wrapText="1"/>
    </xf>
    <xf numFmtId="0" fontId="65" fillId="3" borderId="0" xfId="1" applyFont="1" applyFill="1" applyAlignment="1">
      <alignment horizontal="center"/>
    </xf>
    <xf numFmtId="0" fontId="37" fillId="10" borderId="0" xfId="1" applyFont="1" applyFill="1" applyAlignment="1">
      <alignment horizontal="left" vertical="top" wrapText="1" indent="1"/>
    </xf>
    <xf numFmtId="0" fontId="26" fillId="3" borderId="0" xfId="0" applyFont="1" applyFill="1" applyAlignment="1">
      <alignment horizontal="center" vertical="center"/>
    </xf>
    <xf numFmtId="2" fontId="40" fillId="9" borderId="0" xfId="0" applyNumberFormat="1" applyFont="1" applyFill="1" applyAlignment="1">
      <alignment horizontal="center" vertical="center" wrapText="1"/>
    </xf>
    <xf numFmtId="0" fontId="112" fillId="9" borderId="13" xfId="1" applyFont="1" applyFill="1" applyBorder="1" applyAlignment="1">
      <alignment horizontal="left" vertical="center"/>
    </xf>
    <xf numFmtId="0" fontId="111" fillId="32" borderId="0" xfId="1" applyFont="1" applyFill="1" applyAlignment="1">
      <alignment horizontal="left" vertical="top" wrapText="1"/>
    </xf>
    <xf numFmtId="0" fontId="32" fillId="9" borderId="13" xfId="1" applyFont="1" applyFill="1" applyBorder="1" applyAlignment="1">
      <alignment horizontal="center" vertical="center"/>
    </xf>
    <xf numFmtId="0" fontId="32" fillId="9" borderId="0" xfId="1" applyFont="1" applyFill="1" applyAlignment="1">
      <alignment horizontal="center" vertical="center"/>
    </xf>
    <xf numFmtId="0" fontId="25" fillId="22" borderId="0" xfId="1" applyFont="1" applyFill="1" applyAlignment="1">
      <alignment horizontal="center" vertical="top" wrapText="1"/>
    </xf>
    <xf numFmtId="0" fontId="13" fillId="3" borderId="0" xfId="13" applyFont="1" applyFill="1" applyAlignment="1">
      <alignment horizontal="center" vertical="center" wrapText="1"/>
    </xf>
    <xf numFmtId="0" fontId="91" fillId="3" borderId="0" xfId="13" applyFont="1" applyFill="1" applyAlignment="1">
      <alignment horizontal="center" vertical="center" wrapText="1"/>
    </xf>
    <xf numFmtId="0" fontId="66" fillId="32" borderId="0" xfId="13" applyFont="1" applyFill="1" applyAlignment="1">
      <alignment horizontal="left" vertical="center"/>
    </xf>
    <xf numFmtId="0" fontId="21" fillId="3" borderId="0" xfId="1" applyFont="1" applyFill="1" applyAlignment="1">
      <alignment vertical="top" wrapText="1"/>
    </xf>
    <xf numFmtId="0" fontId="31" fillId="3" borderId="0" xfId="1" applyFont="1" applyFill="1" applyAlignment="1">
      <alignment vertical="top" wrapText="1"/>
    </xf>
    <xf numFmtId="0" fontId="120" fillId="3" borderId="0" xfId="1" applyFont="1" applyFill="1" applyAlignment="1">
      <alignment horizontal="right" vertical="top" wrapText="1"/>
    </xf>
    <xf numFmtId="0" fontId="76" fillId="27" borderId="0" xfId="13" applyFont="1" applyFill="1" applyAlignment="1">
      <alignment horizontal="center" vertical="top" wrapText="1"/>
    </xf>
    <xf numFmtId="0" fontId="66" fillId="31" borderId="0" xfId="13" applyFont="1" applyFill="1" applyAlignment="1">
      <alignment vertical="top" wrapText="1"/>
    </xf>
    <xf numFmtId="0" fontId="16" fillId="15" borderId="0" xfId="13" applyFont="1" applyFill="1" applyAlignment="1">
      <alignment horizontal="left" vertical="top" wrapText="1"/>
    </xf>
  </cellXfs>
  <cellStyles count="17">
    <cellStyle name="Hyperlink" xfId="16" builtinId="8"/>
    <cellStyle name="Normal" xfId="0" builtinId="0"/>
    <cellStyle name="Normal 2" xfId="1" xr:uid="{00000000-0005-0000-0000-000001000000}"/>
    <cellStyle name="Normal 2 2" xfId="2" xr:uid="{00000000-0005-0000-0000-000002000000}"/>
    <cellStyle name="Normal 2 2 2" xfId="6" xr:uid="{00000000-0005-0000-0000-000003000000}"/>
    <cellStyle name="Normal 3" xfId="10" xr:uid="{00000000-0005-0000-0000-000004000000}"/>
    <cellStyle name="Normal 4" xfId="13" xr:uid="{00000000-0005-0000-0000-000005000000}"/>
    <cellStyle name="Normal 5" xfId="3" xr:uid="{00000000-0005-0000-0000-000006000000}"/>
    <cellStyle name="Normal 5 2" xfId="11" xr:uid="{00000000-0005-0000-0000-000007000000}"/>
    <cellStyle name="Normal 5 3" xfId="7" xr:uid="{00000000-0005-0000-0000-000008000000}"/>
    <cellStyle name="Normal 6" xfId="4" xr:uid="{00000000-0005-0000-0000-000009000000}"/>
    <cellStyle name="Normal 6 2" xfId="12" xr:uid="{00000000-0005-0000-0000-00000A000000}"/>
    <cellStyle name="Normal 6 3" xfId="8" xr:uid="{00000000-0005-0000-0000-00000B000000}"/>
    <cellStyle name="Percent" xfId="15" builtinId="5"/>
    <cellStyle name="Percent 2" xfId="5" xr:uid="{00000000-0005-0000-0000-00000C000000}"/>
    <cellStyle name="Percent 2 2" xfId="9" xr:uid="{00000000-0005-0000-0000-00000D000000}"/>
    <cellStyle name="Percent 3" xfId="14" xr:uid="{00000000-0005-0000-0000-00000E000000}"/>
  </cellStyles>
  <dxfs count="47">
    <dxf>
      <fill>
        <patternFill>
          <bgColor theme="8"/>
        </patternFill>
      </fill>
    </dxf>
    <dxf>
      <numFmt numFmtId="204" formatCode="0\ &quot;teaspoon&quot;"/>
    </dxf>
    <dxf>
      <numFmt numFmtId="205" formatCode="0\ &quot;Tablespoon&quot;"/>
    </dxf>
    <dxf>
      <font>
        <color theme="0" tint="-0.14996795556505021"/>
      </font>
    </dxf>
    <dxf>
      <font>
        <color theme="0" tint="-0.14996795556505021"/>
      </font>
    </dxf>
    <dxf>
      <font>
        <color theme="0"/>
      </font>
    </dxf>
    <dxf>
      <font>
        <color rgb="FFFFCCFF"/>
      </font>
    </dxf>
    <dxf>
      <font>
        <color theme="0"/>
      </font>
    </dxf>
    <dxf>
      <numFmt numFmtId="206" formatCode="0\ &quot;cup&quot;"/>
    </dxf>
    <dxf>
      <font>
        <b/>
        <i val="0"/>
        <color rgb="FFC00000"/>
      </font>
      <fill>
        <patternFill patternType="none">
          <bgColor auto="1"/>
        </patternFill>
      </fill>
    </dxf>
    <dxf>
      <font>
        <color theme="0"/>
      </font>
      <fill>
        <patternFill>
          <bgColor theme="0"/>
        </patternFill>
      </fill>
    </dxf>
    <dxf>
      <font>
        <color theme="0" tint="-0.14996795556505021"/>
      </font>
    </dxf>
    <dxf>
      <font>
        <color theme="0"/>
      </font>
    </dxf>
    <dxf>
      <font>
        <color rgb="FFE1EAF3"/>
      </font>
    </dxf>
    <dxf>
      <font>
        <color theme="0"/>
      </font>
    </dxf>
    <dxf>
      <numFmt numFmtId="207" formatCode="0.0\ &quot;cartons&quot;"/>
    </dxf>
    <dxf>
      <font>
        <color rgb="FFF9FBF5"/>
      </font>
    </dxf>
    <dxf>
      <font>
        <color theme="6" tint="0.79998168889431442"/>
      </font>
    </dxf>
    <dxf>
      <font>
        <color theme="0"/>
      </font>
    </dxf>
    <dxf>
      <numFmt numFmtId="208" formatCode="&quot;&lt;&quot;0%"/>
    </dxf>
    <dxf>
      <numFmt numFmtId="208" formatCode="&quot;&lt;&quot;0%"/>
    </dxf>
    <dxf>
      <numFmt numFmtId="1" formatCode="0"/>
    </dxf>
    <dxf>
      <font>
        <color theme="0"/>
      </font>
    </dxf>
    <dxf>
      <numFmt numFmtId="209" formatCode="&quot;(1 case = &quot;0&quot; cartons)&quot;"/>
    </dxf>
    <dxf>
      <font>
        <color theme="0"/>
      </font>
    </dxf>
    <dxf>
      <font>
        <color rgb="FFF9FBF5"/>
      </font>
    </dxf>
    <dxf>
      <font>
        <color theme="6" tint="0.79998168889431442"/>
      </font>
    </dxf>
    <dxf>
      <font>
        <color theme="6" tint="0.79998168889431442"/>
      </font>
    </dxf>
    <dxf>
      <font>
        <color theme="6" tint="0.79998168889431442"/>
      </font>
    </dxf>
    <dxf>
      <numFmt numFmtId="210" formatCode="#,##0.00;\ \(#,##0.00\);\ &quot;-&quot;;[Black]\ @&quot;*&quot;"/>
    </dxf>
    <dxf>
      <numFmt numFmtId="211" formatCode="#,##0.00;\ \(#,##0.00\);\ &quot;-&quot;;[Black]\ @&quot;†&quot;"/>
    </dxf>
    <dxf>
      <font>
        <color theme="0"/>
      </font>
    </dxf>
    <dxf>
      <font>
        <color rgb="FFF9FBF5"/>
      </font>
    </dxf>
    <dxf>
      <font>
        <color theme="6" tint="0.79998168889431442"/>
      </font>
    </dxf>
    <dxf>
      <numFmt numFmtId="212" formatCode="&quot;&lt;&quot;0.0"/>
    </dxf>
    <dxf>
      <font>
        <color theme="6" tint="0.79998168889431442"/>
      </font>
      <numFmt numFmtId="13" formatCode="0%"/>
    </dxf>
    <dxf>
      <font>
        <color rgb="FFDFE9C9"/>
      </font>
    </dxf>
    <dxf>
      <font>
        <color theme="0"/>
      </font>
    </dxf>
    <dxf>
      <font>
        <color theme="0"/>
      </font>
    </dxf>
    <dxf>
      <font>
        <color rgb="FFFF0000"/>
      </font>
      <fill>
        <patternFill patternType="none">
          <bgColor auto="1"/>
        </patternFill>
      </fill>
    </dxf>
    <dxf>
      <numFmt numFmtId="1" formatCode="0"/>
    </dxf>
    <dxf>
      <numFmt numFmtId="164" formatCode="0.0"/>
    </dxf>
    <dxf>
      <numFmt numFmtId="2" formatCode="0.00"/>
    </dxf>
    <dxf>
      <numFmt numFmtId="179" formatCode="0.000"/>
    </dxf>
    <dxf>
      <numFmt numFmtId="213" formatCode="0.0000"/>
    </dxf>
    <dxf>
      <numFmt numFmtId="1" formatCode="0"/>
    </dxf>
    <dxf>
      <font>
        <b/>
        <i val="0"/>
      </font>
    </dxf>
  </dxfs>
  <tableStyles count="0" defaultTableStyle="TableStyleMedium9" defaultPivotStyle="PivotStyleLight16"/>
  <colors>
    <mruColors>
      <color rgb="FFE1EAF3"/>
      <color rgb="FFDFE9C9"/>
      <color rgb="FFFF0066"/>
      <color rgb="FFFF99FF"/>
      <color rgb="FFCC66FF"/>
      <color rgb="FF9966FF"/>
      <color rgb="FFCC99FF"/>
      <color rgb="FFFF9999"/>
      <color rgb="FFBDFF3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456083358782854E-2"/>
          <c:y val="0.10710984881312516"/>
          <c:w val="0.9468161191314558"/>
          <c:h val="0.60365771127912815"/>
        </c:manualLayout>
      </c:layout>
      <c:barChart>
        <c:barDir val="col"/>
        <c:grouping val="stacked"/>
        <c:varyColors val="0"/>
        <c:ser>
          <c:idx val="1"/>
          <c:order val="0"/>
          <c:tx>
            <c:strRef>
              <c:f>'Neocate® &amp; Pepticate™ DRI Calc'!$U$9</c:f>
              <c:strCache>
                <c:ptCount val="1"/>
                <c:pt idx="0">
                  <c:v>DIET%</c:v>
                </c:pt>
              </c:strCache>
            </c:strRef>
          </c:tx>
          <c:spPr>
            <a:pattFill prst="dkUpDiag">
              <a:fgClr>
                <a:schemeClr val="bg1">
                  <a:lumMod val="75000"/>
                </a:schemeClr>
              </a:fgClr>
              <a:bgClr>
                <a:schemeClr val="bg1">
                  <a:lumMod val="85000"/>
                </a:schemeClr>
              </a:bgClr>
            </a:pattFill>
            <a:ln w="3175">
              <a:solidFill>
                <a:schemeClr val="tx1"/>
              </a:solidFill>
              <a:prstDash val="sysDot"/>
            </a:ln>
            <a:effectLst>
              <a:outerShdw blurRad="38100" dist="25400" dir="2700000" algn="tl" rotWithShape="0">
                <a:prstClr val="black">
                  <a:alpha val="40000"/>
                </a:prstClr>
              </a:outerShdw>
            </a:effectLst>
          </c:spPr>
          <c:invertIfNegative val="0"/>
          <c:dLbls>
            <c:dLbl>
              <c:idx val="0"/>
              <c:tx>
                <c:rich>
                  <a:bodyPr/>
                  <a:lstStyle/>
                  <a:p>
                    <a:fld id="{C45AC4EB-5252-4712-A51F-B934C6C1AF6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C8E0-43EE-ACF0-E4B6A8E00EBA}"/>
                </c:ext>
              </c:extLst>
            </c:dLbl>
            <c:dLbl>
              <c:idx val="1"/>
              <c:tx>
                <c:rich>
                  <a:bodyPr/>
                  <a:lstStyle/>
                  <a:p>
                    <a:fld id="{76090490-70AE-4F34-B781-1AC99BE83B9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C8E0-43EE-ACF0-E4B6A8E00EBA}"/>
                </c:ext>
              </c:extLst>
            </c:dLbl>
            <c:dLbl>
              <c:idx val="2"/>
              <c:layout>
                <c:manualLayout>
                  <c:x val="-6.2745092872618563E-2"/>
                  <c:y val="-6.5249372791635465E-2"/>
                </c:manualLayout>
              </c:layout>
              <c:tx>
                <c:rich>
                  <a:bodyPr/>
                  <a:lstStyle/>
                  <a:p>
                    <a:fld id="{3CF07C60-80E8-4A0F-976C-709F0955414E}"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9-C8E0-43EE-ACF0-E4B6A8E00EBA}"/>
                </c:ext>
              </c:extLst>
            </c:dLbl>
            <c:dLbl>
              <c:idx val="3"/>
              <c:tx>
                <c:rich>
                  <a:bodyPr/>
                  <a:lstStyle/>
                  <a:p>
                    <a:fld id="{634905B7-2822-4FA3-9775-53C1E7C7932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C8E0-43EE-ACF0-E4B6A8E00EBA}"/>
                </c:ext>
              </c:extLst>
            </c:dLbl>
            <c:dLbl>
              <c:idx val="4"/>
              <c:tx>
                <c:rich>
                  <a:bodyPr/>
                  <a:lstStyle/>
                  <a:p>
                    <a:fld id="{419E3015-65DF-426A-8C7D-52791BBCBE0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C8E0-43EE-ACF0-E4B6A8E00EBA}"/>
                </c:ext>
              </c:extLst>
            </c:dLbl>
            <c:dLbl>
              <c:idx val="5"/>
              <c:tx>
                <c:rich>
                  <a:bodyPr/>
                  <a:lstStyle/>
                  <a:p>
                    <a:fld id="{C92024BB-C4B0-492A-A389-FC3D46F071E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C-C8E0-43EE-ACF0-E4B6A8E00EBA}"/>
                </c:ext>
              </c:extLst>
            </c:dLbl>
            <c:dLbl>
              <c:idx val="6"/>
              <c:tx>
                <c:rich>
                  <a:bodyPr/>
                  <a:lstStyle/>
                  <a:p>
                    <a:fld id="{D98D65F2-161E-4175-800B-6552D357121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C8E0-43EE-ACF0-E4B6A8E00EBA}"/>
                </c:ext>
              </c:extLst>
            </c:dLbl>
            <c:dLbl>
              <c:idx val="7"/>
              <c:tx>
                <c:rich>
                  <a:bodyPr/>
                  <a:lstStyle/>
                  <a:p>
                    <a:fld id="{A395CA65-C48E-47CE-BBF1-766F4F62982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C8E0-43EE-ACF0-E4B6A8E00EBA}"/>
                </c:ext>
              </c:extLst>
            </c:dLbl>
            <c:dLbl>
              <c:idx val="8"/>
              <c:tx>
                <c:rich>
                  <a:bodyPr/>
                  <a:lstStyle/>
                  <a:p>
                    <a:fld id="{00B2780D-5095-4024-8EE6-BF0C293D8CE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C8E0-43EE-ACF0-E4B6A8E00EBA}"/>
                </c:ext>
              </c:extLst>
            </c:dLbl>
            <c:dLbl>
              <c:idx val="9"/>
              <c:tx>
                <c:rich>
                  <a:bodyPr/>
                  <a:lstStyle/>
                  <a:p>
                    <a:fld id="{1B2BB64D-3FF1-4B66-8CC0-99A35896801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C8E0-43EE-ACF0-E4B6A8E00EBA}"/>
                </c:ext>
              </c:extLst>
            </c:dLbl>
            <c:dLbl>
              <c:idx val="10"/>
              <c:tx>
                <c:rich>
                  <a:bodyPr/>
                  <a:lstStyle/>
                  <a:p>
                    <a:fld id="{542AE2C1-318A-47AA-B7DB-2CC36D11D94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C8E0-43EE-ACF0-E4B6A8E00EBA}"/>
                </c:ext>
              </c:extLst>
            </c:dLbl>
            <c:dLbl>
              <c:idx val="11"/>
              <c:tx>
                <c:rich>
                  <a:bodyPr/>
                  <a:lstStyle/>
                  <a:p>
                    <a:fld id="{E902F16D-4D14-4C08-BB76-CEEB94C4E86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2-C8E0-43EE-ACF0-E4B6A8E00EBA}"/>
                </c:ext>
              </c:extLst>
            </c:dLbl>
            <c:dLbl>
              <c:idx val="12"/>
              <c:tx>
                <c:rich>
                  <a:bodyPr/>
                  <a:lstStyle/>
                  <a:p>
                    <a:fld id="{2A99D7FB-6580-47EF-B1E4-2D720FA669C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3-C8E0-43EE-ACF0-E4B6A8E00EBA}"/>
                </c:ext>
              </c:extLst>
            </c:dLbl>
            <c:dLbl>
              <c:idx val="13"/>
              <c:tx>
                <c:rich>
                  <a:bodyPr/>
                  <a:lstStyle/>
                  <a:p>
                    <a:fld id="{502B4595-6180-4C37-A8EC-4E149051013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4-C8E0-43EE-ACF0-E4B6A8E00EBA}"/>
                </c:ext>
              </c:extLst>
            </c:dLbl>
            <c:dLbl>
              <c:idx val="14"/>
              <c:tx>
                <c:rich>
                  <a:bodyPr/>
                  <a:lstStyle/>
                  <a:p>
                    <a:fld id="{CBD1755E-0C1A-4E34-8A54-CCB3450FAD8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5-C8E0-43EE-ACF0-E4B6A8E00EBA}"/>
                </c:ext>
              </c:extLst>
            </c:dLbl>
            <c:dLbl>
              <c:idx val="15"/>
              <c:tx>
                <c:rich>
                  <a:bodyPr/>
                  <a:lstStyle/>
                  <a:p>
                    <a:fld id="{1AE0C2E1-8477-4FA4-A565-2CD7E5A5E81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6-C8E0-43EE-ACF0-E4B6A8E00EBA}"/>
                </c:ext>
              </c:extLst>
            </c:dLbl>
            <c:dLbl>
              <c:idx val="16"/>
              <c:tx>
                <c:rich>
                  <a:bodyPr/>
                  <a:lstStyle/>
                  <a:p>
                    <a:fld id="{F04892A5-1543-4932-A177-D2C508F6D13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C8E0-43EE-ACF0-E4B6A8E00EBA}"/>
                </c:ext>
              </c:extLst>
            </c:dLbl>
            <c:dLbl>
              <c:idx val="17"/>
              <c:tx>
                <c:rich>
                  <a:bodyPr/>
                  <a:lstStyle/>
                  <a:p>
                    <a:fld id="{C1EF7AA0-C3E7-4420-A72E-811B8A82265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8-C8E0-43EE-ACF0-E4B6A8E00EBA}"/>
                </c:ext>
              </c:extLst>
            </c:dLbl>
            <c:dLbl>
              <c:idx val="18"/>
              <c:tx>
                <c:rich>
                  <a:bodyPr/>
                  <a:lstStyle/>
                  <a:p>
                    <a:fld id="{FFF7B866-7C08-49E9-9418-31BCBBFCB57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C8E0-43EE-ACF0-E4B6A8E00EBA}"/>
                </c:ext>
              </c:extLst>
            </c:dLbl>
            <c:dLbl>
              <c:idx val="19"/>
              <c:tx>
                <c:rich>
                  <a:bodyPr/>
                  <a:lstStyle/>
                  <a:p>
                    <a:fld id="{D3F96CC4-08E9-4A91-9A24-628CB56D165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C8E0-43EE-ACF0-E4B6A8E00EBA}"/>
                </c:ext>
              </c:extLst>
            </c:dLbl>
            <c:dLbl>
              <c:idx val="20"/>
              <c:tx>
                <c:rich>
                  <a:bodyPr/>
                  <a:lstStyle/>
                  <a:p>
                    <a:fld id="{FC926B55-C270-4FAF-80F9-6F281DE54E6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B-C8E0-43EE-ACF0-E4B6A8E00EBA}"/>
                </c:ext>
              </c:extLst>
            </c:dLbl>
            <c:dLbl>
              <c:idx val="21"/>
              <c:tx>
                <c:rich>
                  <a:bodyPr/>
                  <a:lstStyle/>
                  <a:p>
                    <a:fld id="{02EE171E-EA89-4F6E-80F7-93B22698911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C-C8E0-43EE-ACF0-E4B6A8E00EBA}"/>
                </c:ext>
              </c:extLst>
            </c:dLbl>
            <c:dLbl>
              <c:idx val="22"/>
              <c:tx>
                <c:rich>
                  <a:bodyPr/>
                  <a:lstStyle/>
                  <a:p>
                    <a:fld id="{5D05A4C2-4898-4D02-9544-B7BAEA91E9E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D-C8E0-43EE-ACF0-E4B6A8E00EBA}"/>
                </c:ext>
              </c:extLst>
            </c:dLbl>
            <c:dLbl>
              <c:idx val="23"/>
              <c:tx>
                <c:rich>
                  <a:bodyPr/>
                  <a:lstStyle/>
                  <a:p>
                    <a:fld id="{992C35DB-F715-432D-A9A3-16E31C63F4A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C8E0-43EE-ACF0-E4B6A8E00EBA}"/>
                </c:ext>
              </c:extLst>
            </c:dLbl>
            <c:dLbl>
              <c:idx val="24"/>
              <c:tx>
                <c:rich>
                  <a:bodyPr/>
                  <a:lstStyle/>
                  <a:p>
                    <a:fld id="{EC550621-AD9E-4052-973A-AB7325AD99C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C8E0-43EE-ACF0-E4B6A8E00EBA}"/>
                </c:ext>
              </c:extLst>
            </c:dLbl>
            <c:dLbl>
              <c:idx val="25"/>
              <c:tx>
                <c:rich>
                  <a:bodyPr/>
                  <a:lstStyle/>
                  <a:p>
                    <a:fld id="{271BA57E-390F-4740-9E2B-9B24AF97109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C8E0-43EE-ACF0-E4B6A8E00EBA}"/>
                </c:ext>
              </c:extLst>
            </c:dLbl>
            <c:dLbl>
              <c:idx val="26"/>
              <c:tx>
                <c:rich>
                  <a:bodyPr/>
                  <a:lstStyle/>
                  <a:p>
                    <a:fld id="{EE9703E8-37D7-48B5-8E81-F8BC94A790A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C8E0-43EE-ACF0-E4B6A8E00EBA}"/>
                </c:ext>
              </c:extLst>
            </c:dLbl>
            <c:dLbl>
              <c:idx val="27"/>
              <c:tx>
                <c:rich>
                  <a:bodyPr/>
                  <a:lstStyle/>
                  <a:p>
                    <a:fld id="{008D28E8-1E43-4033-9F09-6FF5DCEC5AE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C8E0-43EE-ACF0-E4B6A8E00EBA}"/>
                </c:ext>
              </c:extLst>
            </c:dLbl>
            <c:dLbl>
              <c:idx val="28"/>
              <c:tx>
                <c:rich>
                  <a:bodyPr/>
                  <a:lstStyle/>
                  <a:p>
                    <a:fld id="{44CA8F7E-5A01-4EE8-A3D1-53B0810BC7D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C8E0-43EE-ACF0-E4B6A8E00EBA}"/>
                </c:ext>
              </c:extLst>
            </c:dLbl>
            <c:dLbl>
              <c:idx val="29"/>
              <c:tx>
                <c:rich>
                  <a:bodyPr/>
                  <a:lstStyle/>
                  <a:p>
                    <a:fld id="{A0597C6E-4E26-4756-B96D-9DB5C702BBD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C8E0-43EE-ACF0-E4B6A8E00EBA}"/>
                </c:ext>
              </c:extLst>
            </c:dLbl>
            <c:dLbl>
              <c:idx val="30"/>
              <c:tx>
                <c:rich>
                  <a:bodyPr/>
                  <a:lstStyle/>
                  <a:p>
                    <a:fld id="{597B25E1-EA05-42F8-A56E-B9CD7249B6A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C8E0-43EE-ACF0-E4B6A8E00EBA}"/>
                </c:ext>
              </c:extLst>
            </c:dLbl>
            <c:dLbl>
              <c:idx val="31"/>
              <c:tx>
                <c:rich>
                  <a:bodyPr/>
                  <a:lstStyle/>
                  <a:p>
                    <a:fld id="{F86BC75F-BE5A-445E-9F65-16F953F1F16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C8E0-43EE-ACF0-E4B6A8E00EBA}"/>
                </c:ext>
              </c:extLst>
            </c:dLbl>
            <c:dLbl>
              <c:idx val="32"/>
              <c:tx>
                <c:rich>
                  <a:bodyPr/>
                  <a:lstStyle/>
                  <a:p>
                    <a:fld id="{A8EBCDBC-6374-4122-9BCF-C44A7D407C8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C8E0-43EE-ACF0-E4B6A8E00EBA}"/>
                </c:ext>
              </c:extLst>
            </c:dLbl>
            <c:dLbl>
              <c:idx val="33"/>
              <c:tx>
                <c:rich>
                  <a:bodyPr/>
                  <a:lstStyle/>
                  <a:p>
                    <a:fld id="{BB81989F-BA48-4719-935D-B4788C5DC88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C8E0-43EE-ACF0-E4B6A8E00EBA}"/>
                </c:ext>
              </c:extLst>
            </c:dLbl>
            <c:dLbl>
              <c:idx val="34"/>
              <c:tx>
                <c:rich>
                  <a:bodyPr/>
                  <a:lstStyle/>
                  <a:p>
                    <a:fld id="{B607CF3B-1FBA-4016-9B3E-D97113E7A53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C8E0-43EE-ACF0-E4B6A8E00EBA}"/>
                </c:ext>
              </c:extLst>
            </c:dLbl>
            <c:dLbl>
              <c:idx val="35"/>
              <c:tx>
                <c:rich>
                  <a:bodyPr/>
                  <a:lstStyle/>
                  <a:p>
                    <a:fld id="{9C5B411D-5E2F-4A98-AC52-799D41C3E8E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CD6E-488C-B2ED-03AA60B64108}"/>
                </c:ext>
              </c:extLst>
            </c:dLbl>
            <c:dLbl>
              <c:idx val="36"/>
              <c:tx>
                <c:rich>
                  <a:bodyPr/>
                  <a:lstStyle/>
                  <a:p>
                    <a:fld id="{AC0DBE06-88CD-4043-924A-F15B61F662D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CD6E-488C-B2ED-03AA60B64108}"/>
                </c:ext>
              </c:extLst>
            </c:dLbl>
            <c:dLbl>
              <c:idx val="37"/>
              <c:tx>
                <c:rich>
                  <a:bodyPr/>
                  <a:lstStyle/>
                  <a:p>
                    <a:fld id="{788F47B1-44D7-4BA5-B2AE-6C8151D5B9D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8-CD6E-488C-B2ED-03AA60B64108}"/>
                </c:ext>
              </c:extLst>
            </c:dLbl>
            <c:dLbl>
              <c:idx val="38"/>
              <c:tx>
                <c:rich>
                  <a:bodyPr/>
                  <a:lstStyle/>
                  <a:p>
                    <a:fld id="{8440871F-DAC9-4EA9-A4F4-EF975B75FF2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C-CD6E-488C-B2ED-03AA60B641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('Neocate® &amp; Pepticate™ DRI Calc'!$K$6:$K$16,'Neocate® &amp; Pepticate™ DRI Calc'!$K$22,'Neocate® &amp; Pepticate™ DRI Calc'!$K$30:$K$31,'Neocate® &amp; Pepticate™ DRI Calc'!$K$33:$K$44,'Neocate® &amp; Pepticate™ DRI Calc'!$K$48:$K$61)</c15:sqref>
                  </c15:fullRef>
                </c:ext>
              </c:extLst>
              <c:f>('Neocate® &amp; Pepticate™ DRI Calc'!$K$7:$K$16,'Neocate® &amp; Pepticate™ DRI Calc'!$K$22,'Neocate® &amp; Pepticate™ DRI Calc'!$K$30:$K$31,'Neocate® &amp; Pepticate™ DRI Calc'!$K$33:$K$44,'Neocate® &amp; Pepticate™ DRI Calc'!$K$48:$K$61)</c:f>
              <c:strCache>
                <c:ptCount val="39"/>
                <c:pt idx="2">
                  <c:v>MACRONUTRIENTS</c:v>
                </c:pt>
                <c:pt idx="3">
                  <c:v>Protein</c:v>
                </c:pt>
                <c:pt idx="5">
                  <c:v>Carbohydrate</c:v>
                </c:pt>
                <c:pt idx="6">
                  <c:v>Prebiotic Fiber‡</c:v>
                </c:pt>
                <c:pt idx="7">
                  <c:v>Fat‡</c:v>
                </c:pt>
                <c:pt idx="8">
                  <c:v>Linoleic Acid</c:v>
                </c:pt>
                <c:pt idx="9">
                  <c:v>α-Linolenic Acid</c:v>
                </c:pt>
                <c:pt idx="10">
                  <c:v>Free water</c:v>
                </c:pt>
                <c:pt idx="11">
                  <c:v>Vitamin A</c:v>
                </c:pt>
                <c:pt idx="12">
                  <c:v>Vitamin D</c:v>
                </c:pt>
                <c:pt idx="13">
                  <c:v>Vitamin E</c:v>
                </c:pt>
                <c:pt idx="14">
                  <c:v>Vitamin K</c:v>
                </c:pt>
                <c:pt idx="15">
                  <c:v>Thiamine (B1)</c:v>
                </c:pt>
                <c:pt idx="16">
                  <c:v>Riboflavin (B2)</c:v>
                </c:pt>
                <c:pt idx="17">
                  <c:v>Vitamin B6</c:v>
                </c:pt>
                <c:pt idx="18">
                  <c:v>Vitamin B12</c:v>
                </c:pt>
                <c:pt idx="19">
                  <c:v>Niacin (B3)</c:v>
                </c:pt>
                <c:pt idx="20">
                  <c:v>Folic Acid (B9)</c:v>
                </c:pt>
                <c:pt idx="21">
                  <c:v>Pantothenic Acid (B5)</c:v>
                </c:pt>
                <c:pt idx="22">
                  <c:v>Biotin (B7)</c:v>
                </c:pt>
                <c:pt idx="23">
                  <c:v>Vitamin C</c:v>
                </c:pt>
                <c:pt idx="24">
                  <c:v>Choline</c:v>
                </c:pt>
                <c:pt idx="25">
                  <c:v>Calcium</c:v>
                </c:pt>
                <c:pt idx="26">
                  <c:v>Phosphorus</c:v>
                </c:pt>
                <c:pt idx="27">
                  <c:v>Magnesium</c:v>
                </c:pt>
                <c:pt idx="28">
                  <c:v>Iron</c:v>
                </c:pt>
                <c:pt idx="29">
                  <c:v>Zinc</c:v>
                </c:pt>
                <c:pt idx="30">
                  <c:v>Manganese</c:v>
                </c:pt>
                <c:pt idx="31">
                  <c:v>Copper</c:v>
                </c:pt>
                <c:pt idx="32">
                  <c:v>Iodine</c:v>
                </c:pt>
                <c:pt idx="33">
                  <c:v>Molybdenum</c:v>
                </c:pt>
                <c:pt idx="34">
                  <c:v>Chromium</c:v>
                </c:pt>
                <c:pt idx="35">
                  <c:v>Selenium</c:v>
                </c:pt>
                <c:pt idx="36">
                  <c:v>Sodium</c:v>
                </c:pt>
                <c:pt idx="37">
                  <c:v>Potassium</c:v>
                </c:pt>
                <c:pt idx="38">
                  <c:v>Chloride</c:v>
                </c:pt>
              </c:strCache>
            </c:strRef>
          </c:cat>
          <c:val>
            <c:numRef>
              <c:extLst>
                <c:ext xmlns:c15="http://schemas.microsoft.com/office/drawing/2012/chart" uri="{02D57815-91ED-43cb-92C2-25804820EDAC}">
                  <c15:fullRef>
                    <c15:sqref>('Neocate® &amp; Pepticate™ DRI Calc'!$U$6:$U$16,'Neocate® &amp; Pepticate™ DRI Calc'!$U$22,'Neocate® &amp; Pepticate™ DRI Calc'!$U$30:$U$31,'Neocate® &amp; Pepticate™ DRI Calc'!$U$33:$U$44,'Neocate® &amp; Pepticate™ DRI Calc'!$U$48:$U$61)</c15:sqref>
                  </c15:fullRef>
                </c:ext>
              </c:extLst>
              <c:f>('Neocate® &amp; Pepticate™ DRI Calc'!$U$7:$U$16,'Neocate® &amp; Pepticate™ DRI Calc'!$U$22,'Neocate® &amp; Pepticate™ DRI Calc'!$U$30:$U$31,'Neocate® &amp; Pepticate™ DRI Calc'!$U$33:$U$44,'Neocate® &amp; Pepticate™ DRI Calc'!$U$48:$U$61)</c:f>
              <c:numCache>
                <c:formatCode>0%</c:formatCode>
                <c:ptCount val="39"/>
                <c:pt idx="2" formatCode="0&quot; DRI&quot;">
                  <c:v>0</c:v>
                </c:pt>
                <c:pt idx="3">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5="http://schemas.microsoft.com/office/drawing/2012/chart" uri="{02D57815-91ED-43cb-92C2-25804820EDAC}">
              <c15:datalabelsRange>
                <c15:f>('Neocate® &amp; Pepticate™ DRI Calc'!$N$6:$N$16,'Neocate® &amp; Pepticate™ DRI Calc'!$N$22,'Neocate® &amp; Pepticate™ DRI Calc'!$N$30:$N$31,'Neocate® &amp; Pepticate™ DRI Calc'!$N$33:$N$44,'Neocate® &amp; Pepticate™ DRI Calc'!$N$48:$N$61)</c15:f>
                <c15:dlblRangeCache>
                  <c:ptCount val="40"/>
                  <c:pt idx="3">
                    <c:v>4-8 yr, Male DRI</c:v>
                  </c:pt>
                  <c:pt idx="4">
                    <c:v>RDA</c:v>
                  </c:pt>
                  <c:pt idx="6">
                    <c:v>RDA</c:v>
                  </c:pt>
                  <c:pt idx="7">
                    <c:v>AI</c:v>
                  </c:pt>
                  <c:pt idx="8">
                    <c:v>-     </c:v>
                  </c:pt>
                  <c:pt idx="9">
                    <c:v>AI</c:v>
                  </c:pt>
                  <c:pt idx="10">
                    <c:v>AI</c:v>
                  </c:pt>
                  <c:pt idx="11">
                    <c:v>AI</c:v>
                  </c:pt>
                  <c:pt idx="12">
                    <c:v>RDA</c:v>
                  </c:pt>
                  <c:pt idx="13">
                    <c:v>RDA</c:v>
                  </c:pt>
                  <c:pt idx="14">
                    <c:v>RDA</c:v>
                  </c:pt>
                  <c:pt idx="15">
                    <c:v>AI</c:v>
                  </c:pt>
                  <c:pt idx="16">
                    <c:v>RDA</c:v>
                  </c:pt>
                  <c:pt idx="17">
                    <c:v>RDA</c:v>
                  </c:pt>
                  <c:pt idx="18">
                    <c:v>RDA</c:v>
                  </c:pt>
                  <c:pt idx="19">
                    <c:v>RDA</c:v>
                  </c:pt>
                  <c:pt idx="20">
                    <c:v>RDA</c:v>
                  </c:pt>
                  <c:pt idx="21">
                    <c:v>RDA</c:v>
                  </c:pt>
                  <c:pt idx="22">
                    <c:v>AI</c:v>
                  </c:pt>
                  <c:pt idx="23">
                    <c:v>AI</c:v>
                  </c:pt>
                  <c:pt idx="24">
                    <c:v>RDA</c:v>
                  </c:pt>
                  <c:pt idx="25">
                    <c:v>AI</c:v>
                  </c:pt>
                  <c:pt idx="26">
                    <c:v>RDA</c:v>
                  </c:pt>
                  <c:pt idx="27">
                    <c:v>RDA</c:v>
                  </c:pt>
                  <c:pt idx="28">
                    <c:v>RDA</c:v>
                  </c:pt>
                  <c:pt idx="29">
                    <c:v>RDA</c:v>
                  </c:pt>
                  <c:pt idx="30">
                    <c:v>RDA</c:v>
                  </c:pt>
                  <c:pt idx="31">
                    <c:v>AI</c:v>
                  </c:pt>
                  <c:pt idx="32">
                    <c:v>RDA</c:v>
                  </c:pt>
                  <c:pt idx="33">
                    <c:v>RDA</c:v>
                  </c:pt>
                  <c:pt idx="34">
                    <c:v>RDA</c:v>
                  </c:pt>
                  <c:pt idx="35">
                    <c:v>AI</c:v>
                  </c:pt>
                  <c:pt idx="36">
                    <c:v>RDA</c:v>
                  </c:pt>
                  <c:pt idx="37">
                    <c:v>AI</c:v>
                  </c:pt>
                  <c:pt idx="38">
                    <c:v>AI</c:v>
                  </c:pt>
                  <c:pt idx="39">
                    <c:v>AI</c:v>
                  </c:pt>
                </c15:dlblRangeCache>
              </c15:datalabelsRange>
            </c:ext>
            <c:ext xmlns:c16="http://schemas.microsoft.com/office/drawing/2014/chart" uri="{C3380CC4-5D6E-409C-BE32-E72D297353CC}">
              <c16:uniqueId val="{00000002-517F-4DAD-B56C-13C010D3B787}"/>
            </c:ext>
          </c:extLst>
        </c:ser>
        <c:ser>
          <c:idx val="0"/>
          <c:order val="1"/>
          <c:tx>
            <c:strRef>
              <c:f>'Neocate® &amp; Pepticate™ DRI Calc'!$V$9</c:f>
              <c:strCache>
                <c:ptCount val="1"/>
                <c:pt idx="0">
                  <c:v>FORMULA%</c:v>
                </c:pt>
              </c:strCache>
            </c:strRef>
          </c:tx>
          <c:spPr>
            <a:solidFill>
              <a:srgbClr val="FF9999"/>
            </a:solidFill>
            <a:ln w="3175">
              <a:solidFill>
                <a:schemeClr val="tx1"/>
              </a:solidFill>
            </a:ln>
            <a:effectLst>
              <a:outerShdw blurRad="38100" dist="25400" dir="2700000" algn="tl" rotWithShape="0">
                <a:prstClr val="black">
                  <a:alpha val="40000"/>
                </a:prstClr>
              </a:outerShdw>
            </a:effectLst>
          </c:spPr>
          <c:invertIfNegative val="0"/>
          <c:dPt>
            <c:idx val="0"/>
            <c:invertIfNegative val="0"/>
            <c:bubble3D val="0"/>
            <c:spPr>
              <a:solidFill>
                <a:srgbClr val="91B44A"/>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0C-517F-4DAD-B56C-13C010D3B787}"/>
              </c:ext>
            </c:extLst>
          </c:dPt>
          <c:dPt>
            <c:idx val="1"/>
            <c:invertIfNegative val="0"/>
            <c:bubble3D val="0"/>
            <c:spPr>
              <a:solidFill>
                <a:srgbClr val="66FF99"/>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0D-517F-4DAD-B56C-13C010D3B787}"/>
              </c:ext>
            </c:extLst>
          </c:dPt>
          <c:dPt>
            <c:idx val="2"/>
            <c:invertIfNegative val="0"/>
            <c:bubble3D val="0"/>
            <c:spPr>
              <a:solidFill>
                <a:srgbClr val="66FF99"/>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0E-517F-4DAD-B56C-13C010D3B787}"/>
              </c:ext>
            </c:extLst>
          </c:dPt>
          <c:dPt>
            <c:idx val="3"/>
            <c:invertIfNegative val="0"/>
            <c:bubble3D val="0"/>
            <c:spPr>
              <a:solidFill>
                <a:srgbClr val="99FF33"/>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2B-F7DD-47C0-B6E5-1A3F33821939}"/>
              </c:ext>
            </c:extLst>
          </c:dPt>
          <c:dPt>
            <c:idx val="4"/>
            <c:invertIfNegative val="0"/>
            <c:bubble3D val="0"/>
            <c:spPr>
              <a:solidFill>
                <a:srgbClr val="BDFF39"/>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0F-517F-4DAD-B56C-13C010D3B787}"/>
              </c:ext>
            </c:extLst>
          </c:dPt>
          <c:dPt>
            <c:idx val="5"/>
            <c:invertIfNegative val="0"/>
            <c:bubble3D val="0"/>
            <c:spPr>
              <a:solidFill>
                <a:srgbClr val="BDFF39"/>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0-517F-4DAD-B56C-13C010D3B787}"/>
              </c:ext>
            </c:extLst>
          </c:dPt>
          <c:dPt>
            <c:idx val="6"/>
            <c:invertIfNegative val="0"/>
            <c:bubble3D val="0"/>
            <c:spPr>
              <a:pattFill prst="wave">
                <a:fgClr>
                  <a:schemeClr val="accent1">
                    <a:lumMod val="20000"/>
                    <a:lumOff val="80000"/>
                  </a:schemeClr>
                </a:fgClr>
                <a:bgClr>
                  <a:schemeClr val="bg1"/>
                </a:bgClr>
              </a:patt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1-517F-4DAD-B56C-13C010D3B787}"/>
              </c:ext>
            </c:extLst>
          </c:dPt>
          <c:dPt>
            <c:idx val="7"/>
            <c:invertIfNegative val="0"/>
            <c:bubble3D val="0"/>
            <c:spPr>
              <a:solidFill>
                <a:srgbClr val="FF9966"/>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2C-F7DD-47C0-B6E5-1A3F33821939}"/>
              </c:ext>
            </c:extLst>
          </c:dPt>
          <c:dPt>
            <c:idx val="8"/>
            <c:invertIfNegative val="0"/>
            <c:bubble3D val="0"/>
            <c:spPr>
              <a:solidFill>
                <a:srgbClr val="FF9933"/>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2D-F7DD-47C0-B6E5-1A3F33821939}"/>
              </c:ext>
            </c:extLst>
          </c:dPt>
          <c:dPt>
            <c:idx val="9"/>
            <c:invertIfNegative val="0"/>
            <c:bubble3D val="0"/>
            <c:spPr>
              <a:solidFill>
                <a:srgbClr val="FF9966"/>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2E-F7DD-47C0-B6E5-1A3F33821939}"/>
              </c:ext>
            </c:extLst>
          </c:dPt>
          <c:dPt>
            <c:idx val="11"/>
            <c:invertIfNegative val="0"/>
            <c:bubble3D val="0"/>
            <c:spPr>
              <a:solidFill>
                <a:srgbClr val="FF99CC"/>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0-F7DD-47C0-B6E5-1A3F33821939}"/>
              </c:ext>
            </c:extLst>
          </c:dPt>
          <c:dPt>
            <c:idx val="12"/>
            <c:invertIfNegative val="0"/>
            <c:bubble3D val="0"/>
            <c:spPr>
              <a:solidFill>
                <a:srgbClr val="FF99FF"/>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1-F7DD-47C0-B6E5-1A3F33821939}"/>
              </c:ext>
            </c:extLst>
          </c:dPt>
          <c:dPt>
            <c:idx val="13"/>
            <c:invertIfNegative val="0"/>
            <c:bubble3D val="0"/>
            <c:spPr>
              <a:solidFill>
                <a:srgbClr val="FF99CC"/>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2-F7DD-47C0-B6E5-1A3F33821939}"/>
              </c:ext>
            </c:extLst>
          </c:dPt>
          <c:dPt>
            <c:idx val="14"/>
            <c:invertIfNegative val="0"/>
            <c:bubble3D val="0"/>
            <c:spPr>
              <a:solidFill>
                <a:srgbClr val="FF6699"/>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3-F7DD-47C0-B6E5-1A3F33821939}"/>
              </c:ext>
            </c:extLst>
          </c:dPt>
          <c:dPt>
            <c:idx val="15"/>
            <c:invertIfNegative val="0"/>
            <c:bubble3D val="0"/>
            <c:spPr>
              <a:solidFill>
                <a:srgbClr val="FF99CC"/>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4-F7DD-47C0-B6E5-1A3F33821939}"/>
              </c:ext>
            </c:extLst>
          </c:dPt>
          <c:dPt>
            <c:idx val="16"/>
            <c:invertIfNegative val="0"/>
            <c:bubble3D val="0"/>
            <c:spPr>
              <a:solidFill>
                <a:srgbClr val="FF99FF"/>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5-F7DD-47C0-B6E5-1A3F33821939}"/>
              </c:ext>
            </c:extLst>
          </c:dPt>
          <c:dPt>
            <c:idx val="17"/>
            <c:invertIfNegative val="0"/>
            <c:bubble3D val="0"/>
            <c:spPr>
              <a:solidFill>
                <a:srgbClr val="FF99CC"/>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6-F7DD-47C0-B6E5-1A3F33821939}"/>
              </c:ext>
            </c:extLst>
          </c:dPt>
          <c:dPt>
            <c:idx val="18"/>
            <c:invertIfNegative val="0"/>
            <c:bubble3D val="0"/>
            <c:spPr>
              <a:solidFill>
                <a:srgbClr val="FF99FF"/>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7-F7DD-47C0-B6E5-1A3F33821939}"/>
              </c:ext>
            </c:extLst>
          </c:dPt>
          <c:dPt>
            <c:idx val="19"/>
            <c:invertIfNegative val="0"/>
            <c:bubble3D val="0"/>
            <c:spPr>
              <a:solidFill>
                <a:srgbClr val="FF6699"/>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8-F7DD-47C0-B6E5-1A3F33821939}"/>
              </c:ext>
            </c:extLst>
          </c:dPt>
          <c:dPt>
            <c:idx val="20"/>
            <c:invertIfNegative val="0"/>
            <c:bubble3D val="0"/>
            <c:spPr>
              <a:solidFill>
                <a:srgbClr val="FFCCCC"/>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39-F7DD-47C0-B6E5-1A3F33821939}"/>
              </c:ext>
            </c:extLst>
          </c:dPt>
          <c:dPt>
            <c:idx val="21"/>
            <c:invertIfNegative val="0"/>
            <c:bubble3D val="0"/>
            <c:spPr>
              <a:solidFill>
                <a:srgbClr val="33CCFF"/>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2-517F-4DAD-B56C-13C010D3B787}"/>
              </c:ext>
            </c:extLst>
          </c:dPt>
          <c:dPt>
            <c:idx val="22"/>
            <c:invertIfNegative val="0"/>
            <c:bubble3D val="0"/>
            <c:spPr>
              <a:solidFill>
                <a:srgbClr val="4791FF"/>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3-517F-4DAD-B56C-13C010D3B787}"/>
              </c:ext>
            </c:extLst>
          </c:dPt>
          <c:dPt>
            <c:idx val="23"/>
            <c:invertIfNegative val="0"/>
            <c:bubble3D val="0"/>
            <c:spPr>
              <a:solidFill>
                <a:schemeClr val="accent1">
                  <a:lumMod val="40000"/>
                  <a:lumOff val="60000"/>
                </a:schemeClr>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4-517F-4DAD-B56C-13C010D3B787}"/>
              </c:ext>
            </c:extLst>
          </c:dPt>
          <c:dPt>
            <c:idx val="24"/>
            <c:invertIfNegative val="0"/>
            <c:bubble3D val="0"/>
            <c:spPr>
              <a:solidFill>
                <a:srgbClr val="4791FF"/>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5-517F-4DAD-B56C-13C010D3B787}"/>
              </c:ext>
            </c:extLst>
          </c:dPt>
          <c:dPt>
            <c:idx val="25"/>
            <c:invertIfNegative val="0"/>
            <c:bubble3D val="0"/>
            <c:spPr>
              <a:solidFill>
                <a:srgbClr val="33CCFF"/>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6-517F-4DAD-B56C-13C010D3B787}"/>
              </c:ext>
            </c:extLst>
          </c:dPt>
          <c:dPt>
            <c:idx val="26"/>
            <c:invertIfNegative val="0"/>
            <c:bubble3D val="0"/>
            <c:spPr>
              <a:solidFill>
                <a:srgbClr val="8BACD3"/>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7-517F-4DAD-B56C-13C010D3B787}"/>
              </c:ext>
            </c:extLst>
          </c:dPt>
          <c:dPt>
            <c:idx val="27"/>
            <c:invertIfNegative val="0"/>
            <c:bubble3D val="0"/>
            <c:spPr>
              <a:solidFill>
                <a:srgbClr val="82A5D0"/>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8-517F-4DAD-B56C-13C010D3B787}"/>
              </c:ext>
            </c:extLst>
          </c:dPt>
          <c:dPt>
            <c:idx val="28"/>
            <c:invertIfNegative val="0"/>
            <c:bubble3D val="0"/>
            <c:spPr>
              <a:solidFill>
                <a:schemeClr val="accent1">
                  <a:lumMod val="40000"/>
                  <a:lumOff val="60000"/>
                </a:schemeClr>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9-517F-4DAD-B56C-13C010D3B787}"/>
              </c:ext>
            </c:extLst>
          </c:dPt>
          <c:dPt>
            <c:idx val="29"/>
            <c:invertIfNegative val="0"/>
            <c:bubble3D val="0"/>
            <c:spPr>
              <a:solidFill>
                <a:srgbClr val="82A5D0"/>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A-517F-4DAD-B56C-13C010D3B787}"/>
              </c:ext>
            </c:extLst>
          </c:dPt>
          <c:dPt>
            <c:idx val="30"/>
            <c:invertIfNegative val="0"/>
            <c:bubble3D val="0"/>
            <c:spPr>
              <a:solidFill>
                <a:srgbClr val="8BACD3"/>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B-517F-4DAD-B56C-13C010D3B787}"/>
              </c:ext>
            </c:extLst>
          </c:dPt>
          <c:dPt>
            <c:idx val="31"/>
            <c:invertIfNegative val="0"/>
            <c:bubble3D val="0"/>
            <c:spPr>
              <a:solidFill>
                <a:schemeClr val="accent1">
                  <a:lumMod val="40000"/>
                  <a:lumOff val="60000"/>
                </a:schemeClr>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C-517F-4DAD-B56C-13C010D3B787}"/>
              </c:ext>
            </c:extLst>
          </c:dPt>
          <c:dPt>
            <c:idx val="32"/>
            <c:invertIfNegative val="0"/>
            <c:bubble3D val="0"/>
            <c:spPr>
              <a:solidFill>
                <a:srgbClr val="9999FF"/>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D-517F-4DAD-B56C-13C010D3B787}"/>
              </c:ext>
            </c:extLst>
          </c:dPt>
          <c:dPt>
            <c:idx val="33"/>
            <c:invertIfNegative val="0"/>
            <c:bubble3D val="0"/>
            <c:spPr>
              <a:solidFill>
                <a:srgbClr val="878DD7"/>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E-517F-4DAD-B56C-13C010D3B787}"/>
              </c:ext>
            </c:extLst>
          </c:dPt>
          <c:dPt>
            <c:idx val="34"/>
            <c:invertIfNegative val="0"/>
            <c:bubble3D val="0"/>
            <c:spPr>
              <a:solidFill>
                <a:srgbClr val="9966FF"/>
              </a:solidFill>
              <a:ln w="3175">
                <a:solidFill>
                  <a:schemeClr val="tx1"/>
                </a:solidFill>
              </a:ln>
              <a:effectLst>
                <a:outerShdw blurRad="38100" dist="25400" dir="2700000" algn="tl" rotWithShape="0">
                  <a:prstClr val="black">
                    <a:alpha val="40000"/>
                  </a:prstClr>
                </a:outerShdw>
              </a:effectLst>
            </c:spPr>
            <c:extLst>
              <c:ext xmlns:c16="http://schemas.microsoft.com/office/drawing/2014/chart" uri="{C3380CC4-5D6E-409C-BE32-E72D297353CC}">
                <c16:uniqueId val="{0000001F-517F-4DAD-B56C-13C010D3B787}"/>
              </c:ext>
            </c:extLst>
          </c:dPt>
          <c:dLbls>
            <c:dLbl>
              <c:idx val="0"/>
              <c:tx>
                <c:rich>
                  <a:bodyPr/>
                  <a:lstStyle/>
                  <a:p>
                    <a:fld id="{8435832F-2206-4675-A757-950BD38816A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17F-4DAD-B56C-13C010D3B787}"/>
                </c:ext>
              </c:extLst>
            </c:dLbl>
            <c:dLbl>
              <c:idx val="1"/>
              <c:tx>
                <c:rich>
                  <a:bodyPr/>
                  <a:lstStyle/>
                  <a:p>
                    <a:fld id="{A1371312-B7E3-4EC9-91FE-5B69D38957B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17F-4DAD-B56C-13C010D3B787}"/>
                </c:ext>
              </c:extLst>
            </c:dLbl>
            <c:dLbl>
              <c:idx val="2"/>
              <c:layout>
                <c:manualLayout>
                  <c:x val="-6.1699341324741593E-2"/>
                  <c:y val="4.3544793785083261E-2"/>
                </c:manualLayout>
              </c:layout>
              <c:tx>
                <c:rich>
                  <a:bodyPr/>
                  <a:lstStyle/>
                  <a:p>
                    <a:fld id="{72AAD1D1-F0F1-41C1-9595-C8EABE2C403B}"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17F-4DAD-B56C-13C010D3B787}"/>
                </c:ext>
              </c:extLst>
            </c:dLbl>
            <c:dLbl>
              <c:idx val="3"/>
              <c:tx>
                <c:rich>
                  <a:bodyPr/>
                  <a:lstStyle/>
                  <a:p>
                    <a:fld id="{6C67735A-D82E-47C0-AC4B-3E633560E04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F7DD-47C0-B6E5-1A3F33821939}"/>
                </c:ext>
              </c:extLst>
            </c:dLbl>
            <c:dLbl>
              <c:idx val="4"/>
              <c:tx>
                <c:rich>
                  <a:bodyPr/>
                  <a:lstStyle/>
                  <a:p>
                    <a:fld id="{99B63753-E050-40DB-87CB-8AC6F5C92F2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17F-4DAD-B56C-13C010D3B787}"/>
                </c:ext>
              </c:extLst>
            </c:dLbl>
            <c:dLbl>
              <c:idx val="5"/>
              <c:tx>
                <c:rich>
                  <a:bodyPr/>
                  <a:lstStyle/>
                  <a:p>
                    <a:fld id="{065BFB54-CCB8-4405-95E2-1CE6CA0B276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17F-4DAD-B56C-13C010D3B787}"/>
                </c:ext>
              </c:extLst>
            </c:dLbl>
            <c:dLbl>
              <c:idx val="6"/>
              <c:tx>
                <c:rich>
                  <a:bodyPr/>
                  <a:lstStyle/>
                  <a:p>
                    <a:fld id="{11C22BC6-5CE4-4079-84C8-8379A40CD64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517F-4DAD-B56C-13C010D3B787}"/>
                </c:ext>
              </c:extLst>
            </c:dLbl>
            <c:dLbl>
              <c:idx val="7"/>
              <c:tx>
                <c:rich>
                  <a:bodyPr/>
                  <a:lstStyle/>
                  <a:p>
                    <a:fld id="{ABEEFAC1-9DA1-45C8-8918-4125B1100E4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F7DD-47C0-B6E5-1A3F33821939}"/>
                </c:ext>
              </c:extLst>
            </c:dLbl>
            <c:dLbl>
              <c:idx val="8"/>
              <c:tx>
                <c:rich>
                  <a:bodyPr/>
                  <a:lstStyle/>
                  <a:p>
                    <a:fld id="{F34260E5-F3C6-48AA-8B9C-8489E05E9A0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F7DD-47C0-B6E5-1A3F33821939}"/>
                </c:ext>
              </c:extLst>
            </c:dLbl>
            <c:dLbl>
              <c:idx val="9"/>
              <c:tx>
                <c:rich>
                  <a:bodyPr/>
                  <a:lstStyle/>
                  <a:p>
                    <a:fld id="{0494F0BA-5D9F-48DB-9B23-7E8DF954CA9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F7DD-47C0-B6E5-1A3F33821939}"/>
                </c:ext>
              </c:extLst>
            </c:dLbl>
            <c:dLbl>
              <c:idx val="10"/>
              <c:tx>
                <c:rich>
                  <a:bodyPr/>
                  <a:lstStyle/>
                  <a:p>
                    <a:fld id="{3FCE78D6-4C3D-43F0-A6C0-731D542FD0E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F7DD-47C0-B6E5-1A3F33821939}"/>
                </c:ext>
              </c:extLst>
            </c:dLbl>
            <c:dLbl>
              <c:idx val="11"/>
              <c:tx>
                <c:rich>
                  <a:bodyPr/>
                  <a:lstStyle/>
                  <a:p>
                    <a:fld id="{501383BE-8E5B-42B1-A5A6-F32D31B4EBB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F7DD-47C0-B6E5-1A3F33821939}"/>
                </c:ext>
              </c:extLst>
            </c:dLbl>
            <c:dLbl>
              <c:idx val="12"/>
              <c:tx>
                <c:rich>
                  <a:bodyPr/>
                  <a:lstStyle/>
                  <a:p>
                    <a:fld id="{7CA13E01-5302-4CA7-9372-E7DC0741AED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F7DD-47C0-B6E5-1A3F33821939}"/>
                </c:ext>
              </c:extLst>
            </c:dLbl>
            <c:dLbl>
              <c:idx val="13"/>
              <c:tx>
                <c:rich>
                  <a:bodyPr/>
                  <a:lstStyle/>
                  <a:p>
                    <a:fld id="{EEB2613D-D2B8-41D5-A66B-95C9EB48737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F7DD-47C0-B6E5-1A3F33821939}"/>
                </c:ext>
              </c:extLst>
            </c:dLbl>
            <c:dLbl>
              <c:idx val="14"/>
              <c:tx>
                <c:rich>
                  <a:bodyPr/>
                  <a:lstStyle/>
                  <a:p>
                    <a:fld id="{8C850040-B537-43F1-A310-44FB86710A0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F7DD-47C0-B6E5-1A3F33821939}"/>
                </c:ext>
              </c:extLst>
            </c:dLbl>
            <c:dLbl>
              <c:idx val="15"/>
              <c:tx>
                <c:rich>
                  <a:bodyPr/>
                  <a:lstStyle/>
                  <a:p>
                    <a:fld id="{F7CA1670-7198-40C6-8C47-96890F006E2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F7DD-47C0-B6E5-1A3F33821939}"/>
                </c:ext>
              </c:extLst>
            </c:dLbl>
            <c:dLbl>
              <c:idx val="16"/>
              <c:tx>
                <c:rich>
                  <a:bodyPr/>
                  <a:lstStyle/>
                  <a:p>
                    <a:fld id="{128A2955-A802-4A97-B491-5BBA2DF9407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F7DD-47C0-B6E5-1A3F33821939}"/>
                </c:ext>
              </c:extLst>
            </c:dLbl>
            <c:dLbl>
              <c:idx val="17"/>
              <c:tx>
                <c:rich>
                  <a:bodyPr/>
                  <a:lstStyle/>
                  <a:p>
                    <a:fld id="{30D208D9-BF43-4CA7-B7AB-6772DB468C7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F7DD-47C0-B6E5-1A3F33821939}"/>
                </c:ext>
              </c:extLst>
            </c:dLbl>
            <c:dLbl>
              <c:idx val="18"/>
              <c:tx>
                <c:rich>
                  <a:bodyPr/>
                  <a:lstStyle/>
                  <a:p>
                    <a:fld id="{83DB1940-D50F-4E48-A592-3176FBBE086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F7DD-47C0-B6E5-1A3F33821939}"/>
                </c:ext>
              </c:extLst>
            </c:dLbl>
            <c:dLbl>
              <c:idx val="19"/>
              <c:tx>
                <c:rich>
                  <a:bodyPr/>
                  <a:lstStyle/>
                  <a:p>
                    <a:fld id="{B4B23E86-B7AF-4F86-B7AA-E910C9058A0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F7DD-47C0-B6E5-1A3F33821939}"/>
                </c:ext>
              </c:extLst>
            </c:dLbl>
            <c:dLbl>
              <c:idx val="20"/>
              <c:tx>
                <c:rich>
                  <a:bodyPr/>
                  <a:lstStyle/>
                  <a:p>
                    <a:fld id="{BF1A3303-E2FF-44E4-8929-A63BFBB751B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F7DD-47C0-B6E5-1A3F33821939}"/>
                </c:ext>
              </c:extLst>
            </c:dLbl>
            <c:dLbl>
              <c:idx val="21"/>
              <c:tx>
                <c:rich>
                  <a:bodyPr/>
                  <a:lstStyle/>
                  <a:p>
                    <a:fld id="{8DA4B192-5A38-484D-9261-C1111A0F394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17F-4DAD-B56C-13C010D3B787}"/>
                </c:ext>
              </c:extLst>
            </c:dLbl>
            <c:dLbl>
              <c:idx val="22"/>
              <c:tx>
                <c:rich>
                  <a:bodyPr/>
                  <a:lstStyle/>
                  <a:p>
                    <a:fld id="{C475C54C-8166-4DBF-A563-99823FEDD66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517F-4DAD-B56C-13C010D3B787}"/>
                </c:ext>
              </c:extLst>
            </c:dLbl>
            <c:dLbl>
              <c:idx val="23"/>
              <c:tx>
                <c:rich>
                  <a:bodyPr/>
                  <a:lstStyle/>
                  <a:p>
                    <a:fld id="{80A2ED4F-44EB-4915-979A-EF830E44344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517F-4DAD-B56C-13C010D3B787}"/>
                </c:ext>
              </c:extLst>
            </c:dLbl>
            <c:dLbl>
              <c:idx val="24"/>
              <c:tx>
                <c:rich>
                  <a:bodyPr/>
                  <a:lstStyle/>
                  <a:p>
                    <a:fld id="{3053A99E-3124-4297-A454-2FDB6B2E3AE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517F-4DAD-B56C-13C010D3B787}"/>
                </c:ext>
              </c:extLst>
            </c:dLbl>
            <c:dLbl>
              <c:idx val="25"/>
              <c:tx>
                <c:rich>
                  <a:bodyPr/>
                  <a:lstStyle/>
                  <a:p>
                    <a:fld id="{A78D2A28-03B4-45D0-B596-54FC93F3CED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517F-4DAD-B56C-13C010D3B787}"/>
                </c:ext>
              </c:extLst>
            </c:dLbl>
            <c:dLbl>
              <c:idx val="26"/>
              <c:tx>
                <c:rich>
                  <a:bodyPr/>
                  <a:lstStyle/>
                  <a:p>
                    <a:fld id="{00CD6543-5C3E-48A0-A143-1A933157925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517F-4DAD-B56C-13C010D3B787}"/>
                </c:ext>
              </c:extLst>
            </c:dLbl>
            <c:dLbl>
              <c:idx val="27"/>
              <c:tx>
                <c:rich>
                  <a:bodyPr/>
                  <a:lstStyle/>
                  <a:p>
                    <a:fld id="{F3E2FE23-A568-4D68-B6A7-909C5F5E27A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517F-4DAD-B56C-13C010D3B787}"/>
                </c:ext>
              </c:extLst>
            </c:dLbl>
            <c:dLbl>
              <c:idx val="28"/>
              <c:tx>
                <c:rich>
                  <a:bodyPr/>
                  <a:lstStyle/>
                  <a:p>
                    <a:fld id="{23E56EF4-5274-42A1-9A40-AA12929A530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517F-4DAD-B56C-13C010D3B787}"/>
                </c:ext>
              </c:extLst>
            </c:dLbl>
            <c:dLbl>
              <c:idx val="29"/>
              <c:tx>
                <c:rich>
                  <a:bodyPr/>
                  <a:lstStyle/>
                  <a:p>
                    <a:fld id="{BBF04EBD-92BF-49F5-BCB4-7B0599D1F16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517F-4DAD-B56C-13C010D3B787}"/>
                </c:ext>
              </c:extLst>
            </c:dLbl>
            <c:dLbl>
              <c:idx val="30"/>
              <c:tx>
                <c:rich>
                  <a:bodyPr/>
                  <a:lstStyle/>
                  <a:p>
                    <a:fld id="{BF882CF1-DB9D-4345-A23E-7E14391162F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517F-4DAD-B56C-13C010D3B787}"/>
                </c:ext>
              </c:extLst>
            </c:dLbl>
            <c:dLbl>
              <c:idx val="31"/>
              <c:tx>
                <c:rich>
                  <a:bodyPr/>
                  <a:lstStyle/>
                  <a:p>
                    <a:fld id="{F5B37A60-DDDF-43AA-981A-B4B00E24D73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517F-4DAD-B56C-13C010D3B787}"/>
                </c:ext>
              </c:extLst>
            </c:dLbl>
            <c:dLbl>
              <c:idx val="32"/>
              <c:tx>
                <c:rich>
                  <a:bodyPr/>
                  <a:lstStyle/>
                  <a:p>
                    <a:fld id="{06098E47-4B34-4EE0-8473-2FB94DEB9DF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517F-4DAD-B56C-13C010D3B787}"/>
                </c:ext>
              </c:extLst>
            </c:dLbl>
            <c:dLbl>
              <c:idx val="33"/>
              <c:tx>
                <c:rich>
                  <a:bodyPr/>
                  <a:lstStyle/>
                  <a:p>
                    <a:fld id="{A2CCEB79-206A-4307-81CF-A1255A49AFA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517F-4DAD-B56C-13C010D3B787}"/>
                </c:ext>
              </c:extLst>
            </c:dLbl>
            <c:dLbl>
              <c:idx val="34"/>
              <c:tx>
                <c:rich>
                  <a:bodyPr/>
                  <a:lstStyle/>
                  <a:p>
                    <a:fld id="{9F767C9E-7A31-489C-8B33-93821A84EA3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517F-4DAD-B56C-13C010D3B787}"/>
                </c:ext>
              </c:extLst>
            </c:dLbl>
            <c:dLbl>
              <c:idx val="35"/>
              <c:tx>
                <c:rich>
                  <a:bodyPr/>
                  <a:lstStyle/>
                  <a:p>
                    <a:fld id="{6084C95A-1CF4-4673-804F-DB2DEE75ED8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CD6E-488C-B2ED-03AA60B64108}"/>
                </c:ext>
              </c:extLst>
            </c:dLbl>
            <c:dLbl>
              <c:idx val="36"/>
              <c:tx>
                <c:rich>
                  <a:bodyPr/>
                  <a:lstStyle/>
                  <a:p>
                    <a:fld id="{CF72303F-A5DA-40F3-93DE-D5CD43E576E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CD6E-488C-B2ED-03AA60B64108}"/>
                </c:ext>
              </c:extLst>
            </c:dLbl>
            <c:dLbl>
              <c:idx val="37"/>
              <c:tx>
                <c:rich>
                  <a:bodyPr/>
                  <a:lstStyle/>
                  <a:p>
                    <a:fld id="{C0912A3C-5478-4640-84E1-C221E1AA9E8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B-CD6E-488C-B2ED-03AA60B64108}"/>
                </c:ext>
              </c:extLst>
            </c:dLbl>
            <c:dLbl>
              <c:idx val="38"/>
              <c:tx>
                <c:rich>
                  <a:bodyPr/>
                  <a:lstStyle/>
                  <a:p>
                    <a:fld id="{9CCC593B-A11A-4687-9EC2-81B2C671764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CD6E-488C-B2ED-03AA60B6410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('Neocate® &amp; Pepticate™ DRI Calc'!$K$6:$K$16,'Neocate® &amp; Pepticate™ DRI Calc'!$K$22,'Neocate® &amp; Pepticate™ DRI Calc'!$K$30:$K$31,'Neocate® &amp; Pepticate™ DRI Calc'!$K$33:$K$44,'Neocate® &amp; Pepticate™ DRI Calc'!$K$48:$K$61)</c15:sqref>
                  </c15:fullRef>
                </c:ext>
              </c:extLst>
              <c:f>('Neocate® &amp; Pepticate™ DRI Calc'!$K$7:$K$16,'Neocate® &amp; Pepticate™ DRI Calc'!$K$22,'Neocate® &amp; Pepticate™ DRI Calc'!$K$30:$K$31,'Neocate® &amp; Pepticate™ DRI Calc'!$K$33:$K$44,'Neocate® &amp; Pepticate™ DRI Calc'!$K$48:$K$61)</c:f>
              <c:strCache>
                <c:ptCount val="39"/>
                <c:pt idx="2">
                  <c:v>MACRONUTRIENTS</c:v>
                </c:pt>
                <c:pt idx="3">
                  <c:v>Protein</c:v>
                </c:pt>
                <c:pt idx="5">
                  <c:v>Carbohydrate</c:v>
                </c:pt>
                <c:pt idx="6">
                  <c:v>Prebiotic Fiber‡</c:v>
                </c:pt>
                <c:pt idx="7">
                  <c:v>Fat‡</c:v>
                </c:pt>
                <c:pt idx="8">
                  <c:v>Linoleic Acid</c:v>
                </c:pt>
                <c:pt idx="9">
                  <c:v>α-Linolenic Acid</c:v>
                </c:pt>
                <c:pt idx="10">
                  <c:v>Free water</c:v>
                </c:pt>
                <c:pt idx="11">
                  <c:v>Vitamin A</c:v>
                </c:pt>
                <c:pt idx="12">
                  <c:v>Vitamin D</c:v>
                </c:pt>
                <c:pt idx="13">
                  <c:v>Vitamin E</c:v>
                </c:pt>
                <c:pt idx="14">
                  <c:v>Vitamin K</c:v>
                </c:pt>
                <c:pt idx="15">
                  <c:v>Thiamine (B1)</c:v>
                </c:pt>
                <c:pt idx="16">
                  <c:v>Riboflavin (B2)</c:v>
                </c:pt>
                <c:pt idx="17">
                  <c:v>Vitamin B6</c:v>
                </c:pt>
                <c:pt idx="18">
                  <c:v>Vitamin B12</c:v>
                </c:pt>
                <c:pt idx="19">
                  <c:v>Niacin (B3)</c:v>
                </c:pt>
                <c:pt idx="20">
                  <c:v>Folic Acid (B9)</c:v>
                </c:pt>
                <c:pt idx="21">
                  <c:v>Pantothenic Acid (B5)</c:v>
                </c:pt>
                <c:pt idx="22">
                  <c:v>Biotin (B7)</c:v>
                </c:pt>
                <c:pt idx="23">
                  <c:v>Vitamin C</c:v>
                </c:pt>
                <c:pt idx="24">
                  <c:v>Choline</c:v>
                </c:pt>
                <c:pt idx="25">
                  <c:v>Calcium</c:v>
                </c:pt>
                <c:pt idx="26">
                  <c:v>Phosphorus</c:v>
                </c:pt>
                <c:pt idx="27">
                  <c:v>Magnesium</c:v>
                </c:pt>
                <c:pt idx="28">
                  <c:v>Iron</c:v>
                </c:pt>
                <c:pt idx="29">
                  <c:v>Zinc</c:v>
                </c:pt>
                <c:pt idx="30">
                  <c:v>Manganese</c:v>
                </c:pt>
                <c:pt idx="31">
                  <c:v>Copper</c:v>
                </c:pt>
                <c:pt idx="32">
                  <c:v>Iodine</c:v>
                </c:pt>
                <c:pt idx="33">
                  <c:v>Molybdenum</c:v>
                </c:pt>
                <c:pt idx="34">
                  <c:v>Chromium</c:v>
                </c:pt>
                <c:pt idx="35">
                  <c:v>Selenium</c:v>
                </c:pt>
                <c:pt idx="36">
                  <c:v>Sodium</c:v>
                </c:pt>
                <c:pt idx="37">
                  <c:v>Potassium</c:v>
                </c:pt>
                <c:pt idx="38">
                  <c:v>Chloride</c:v>
                </c:pt>
              </c:strCache>
            </c:strRef>
          </c:cat>
          <c:val>
            <c:numRef>
              <c:extLst>
                <c:ext xmlns:c15="http://schemas.microsoft.com/office/drawing/2012/chart" uri="{02D57815-91ED-43cb-92C2-25804820EDAC}">
                  <c15:fullRef>
                    <c15:sqref>('Neocate® &amp; Pepticate™ DRI Calc'!$V$6:$V$16,'Neocate® &amp; Pepticate™ DRI Calc'!$V$22,'Neocate® &amp; Pepticate™ DRI Calc'!$V$30:$V$31,'Neocate® &amp; Pepticate™ DRI Calc'!$V$33:$V$44,'Neocate® &amp; Pepticate™ DRI Calc'!$V$48:$V$61)</c15:sqref>
                  </c15:fullRef>
                </c:ext>
              </c:extLst>
              <c:f>('Neocate® &amp; Pepticate™ DRI Calc'!$V$7:$V$16,'Neocate® &amp; Pepticate™ DRI Calc'!$V$22,'Neocate® &amp; Pepticate™ DRI Calc'!$V$30:$V$31,'Neocate® &amp; Pepticate™ DRI Calc'!$V$33:$V$44,'Neocate® &amp; Pepticate™ DRI Calc'!$V$48:$V$61)</c:f>
              <c:numCache>
                <c:formatCode>0%</c:formatCode>
                <c:ptCount val="39"/>
                <c:pt idx="1" formatCode="General">
                  <c:v>0</c:v>
                </c:pt>
                <c:pt idx="2" formatCode="0&quot; DRI&quot;">
                  <c:v>0</c:v>
                </c:pt>
                <c:pt idx="3">
                  <c:v>2.3104371097234613</c:v>
                </c:pt>
                <c:pt idx="5">
                  <c:v>1.1727509778357237</c:v>
                </c:pt>
                <c:pt idx="6">
                  <c:v>0.22542372881355932</c:v>
                </c:pt>
                <c:pt idx="7">
                  <c:v>0</c:v>
                </c:pt>
                <c:pt idx="8">
                  <c:v>1.1122881355932204</c:v>
                </c:pt>
                <c:pt idx="9">
                  <c:v>1.2358757062146892</c:v>
                </c:pt>
                <c:pt idx="10">
                  <c:v>0.69441647058823519</c:v>
                </c:pt>
                <c:pt idx="11">
                  <c:v>2.1281779661016951</c:v>
                </c:pt>
                <c:pt idx="12">
                  <c:v>1.8785310734463279</c:v>
                </c:pt>
                <c:pt idx="13">
                  <c:v>2.8389830508474576</c:v>
                </c:pt>
                <c:pt idx="14">
                  <c:v>1.0354391371340523</c:v>
                </c:pt>
                <c:pt idx="15">
                  <c:v>2.3728813559322033</c:v>
                </c:pt>
                <c:pt idx="16">
                  <c:v>4.7457627118644066</c:v>
                </c:pt>
                <c:pt idx="17">
                  <c:v>2.3728813559322033</c:v>
                </c:pt>
                <c:pt idx="18">
                  <c:v>4.6963276836158192</c:v>
                </c:pt>
                <c:pt idx="19">
                  <c:v>1.5942796610169492</c:v>
                </c:pt>
                <c:pt idx="20">
                  <c:v>3.5346031059322032</c:v>
                </c:pt>
                <c:pt idx="21">
                  <c:v>1.8785310734463276</c:v>
                </c:pt>
                <c:pt idx="22">
                  <c:v>3.5593220338983049</c:v>
                </c:pt>
                <c:pt idx="23">
                  <c:v>5.2915254237288138</c:v>
                </c:pt>
                <c:pt idx="24">
                  <c:v>1.6966101694915252</c:v>
                </c:pt>
                <c:pt idx="25">
                  <c:v>1.6758474576271187</c:v>
                </c:pt>
                <c:pt idx="26">
                  <c:v>2.2661016949152541</c:v>
                </c:pt>
                <c:pt idx="27">
                  <c:v>1.7454367666232073</c:v>
                </c:pt>
                <c:pt idx="28">
                  <c:v>2.1949152542372881</c:v>
                </c:pt>
                <c:pt idx="29">
                  <c:v>2.7881355932203391</c:v>
                </c:pt>
                <c:pt idx="30">
                  <c:v>1.2259887005649717</c:v>
                </c:pt>
                <c:pt idx="31">
                  <c:v>3.5728043143297379</c:v>
                </c:pt>
                <c:pt idx="32">
                  <c:v>2.8079096045197738</c:v>
                </c:pt>
                <c:pt idx="33">
                  <c:v>2.8986902927580895</c:v>
                </c:pt>
                <c:pt idx="34">
                  <c:v>3.5593220338983049</c:v>
                </c:pt>
                <c:pt idx="35">
                  <c:v>1.8983050847457625</c:v>
                </c:pt>
                <c:pt idx="36">
                  <c:v>0.70889830508474572</c:v>
                </c:pt>
                <c:pt idx="37">
                  <c:v>0.84211495946941783</c:v>
                </c:pt>
                <c:pt idx="38">
                  <c:v>0.56824264049955397</c:v>
                </c:pt>
              </c:numCache>
            </c:numRef>
          </c:val>
          <c:extLst>
            <c:ext xmlns:c15="http://schemas.microsoft.com/office/drawing/2012/chart" uri="{02D57815-91ED-43cb-92C2-25804820EDAC}">
              <c15:datalabelsRange>
                <c15:f>('Neocate® &amp; Pepticate™ DRI Calc'!$N$6:$N$16,'Neocate® &amp; Pepticate™ DRI Calc'!$N$22,'Neocate® &amp; Pepticate™ DRI Calc'!$N$30:$N$31,'Neocate® &amp; Pepticate™ DRI Calc'!$N$33:$N$44,'Neocate® &amp; Pepticate™ DRI Calc'!$N$48:$N$61)</c15:f>
                <c15:dlblRangeCache>
                  <c:ptCount val="40"/>
                  <c:pt idx="3">
                    <c:v>4-8 yr, Male DRI</c:v>
                  </c:pt>
                  <c:pt idx="4">
                    <c:v>RDA</c:v>
                  </c:pt>
                  <c:pt idx="6">
                    <c:v>RDA</c:v>
                  </c:pt>
                  <c:pt idx="7">
                    <c:v>AI</c:v>
                  </c:pt>
                  <c:pt idx="8">
                    <c:v>-     </c:v>
                  </c:pt>
                  <c:pt idx="9">
                    <c:v>AI</c:v>
                  </c:pt>
                  <c:pt idx="10">
                    <c:v>AI</c:v>
                  </c:pt>
                  <c:pt idx="11">
                    <c:v>AI</c:v>
                  </c:pt>
                  <c:pt idx="12">
                    <c:v>RDA</c:v>
                  </c:pt>
                  <c:pt idx="13">
                    <c:v>RDA</c:v>
                  </c:pt>
                  <c:pt idx="14">
                    <c:v>RDA</c:v>
                  </c:pt>
                  <c:pt idx="15">
                    <c:v>AI</c:v>
                  </c:pt>
                  <c:pt idx="16">
                    <c:v>RDA</c:v>
                  </c:pt>
                  <c:pt idx="17">
                    <c:v>RDA</c:v>
                  </c:pt>
                  <c:pt idx="18">
                    <c:v>RDA</c:v>
                  </c:pt>
                  <c:pt idx="19">
                    <c:v>RDA</c:v>
                  </c:pt>
                  <c:pt idx="20">
                    <c:v>RDA</c:v>
                  </c:pt>
                  <c:pt idx="21">
                    <c:v>RDA</c:v>
                  </c:pt>
                  <c:pt idx="22">
                    <c:v>AI</c:v>
                  </c:pt>
                  <c:pt idx="23">
                    <c:v>AI</c:v>
                  </c:pt>
                  <c:pt idx="24">
                    <c:v>RDA</c:v>
                  </c:pt>
                  <c:pt idx="25">
                    <c:v>AI</c:v>
                  </c:pt>
                  <c:pt idx="26">
                    <c:v>RDA</c:v>
                  </c:pt>
                  <c:pt idx="27">
                    <c:v>RDA</c:v>
                  </c:pt>
                  <c:pt idx="28">
                    <c:v>RDA</c:v>
                  </c:pt>
                  <c:pt idx="29">
                    <c:v>RDA</c:v>
                  </c:pt>
                  <c:pt idx="30">
                    <c:v>RDA</c:v>
                  </c:pt>
                  <c:pt idx="31">
                    <c:v>AI</c:v>
                  </c:pt>
                  <c:pt idx="32">
                    <c:v>RDA</c:v>
                  </c:pt>
                  <c:pt idx="33">
                    <c:v>RDA</c:v>
                  </c:pt>
                  <c:pt idx="34">
                    <c:v>RDA</c:v>
                  </c:pt>
                  <c:pt idx="35">
                    <c:v>AI</c:v>
                  </c:pt>
                  <c:pt idx="36">
                    <c:v>RDA</c:v>
                  </c:pt>
                  <c:pt idx="37">
                    <c:v>AI</c:v>
                  </c:pt>
                  <c:pt idx="38">
                    <c:v>AI</c:v>
                  </c:pt>
                  <c:pt idx="39">
                    <c:v>AI</c:v>
                  </c:pt>
                </c15:dlblRangeCache>
              </c15:datalabelsRange>
            </c:ext>
            <c:ext xmlns:c15="http://schemas.microsoft.com/office/drawing/2012/chart" uri="{02D57815-91ED-43cb-92C2-25804820EDAC}">
              <c15:categoryFilterExceptions>
                <c15:categoryFilterException>
                  <c15:sqref>'Neocate® &amp; Pepticate™ DRI Calc'!$V$6</c15:sqref>
                  <c15:spPr xmlns:c15="http://schemas.microsoft.com/office/drawing/2012/chart">
                    <a:solidFill>
                      <a:srgbClr val="92D050"/>
                    </a:solidFill>
                    <a:ln w="3175">
                      <a:solidFill>
                        <a:schemeClr val="tx1"/>
                      </a:solidFill>
                    </a:ln>
                    <a:effectLst>
                      <a:outerShdw blurRad="38100" dist="25400" dir="2700000" algn="tl" rotWithShape="0">
                        <a:prstClr val="black">
                          <a:alpha val="40000"/>
                        </a:prstClr>
                      </a:outerShdw>
                    </a:effectLst>
                  </c15:spPr>
                  <c15:invertIfNegative val="0"/>
                  <c15:bubble3D val="0"/>
                </c15:categoryFilterException>
              </c15:categoryFilterExceptions>
            </c:ext>
            <c:ext xmlns:c16="http://schemas.microsoft.com/office/drawing/2014/chart" uri="{C3380CC4-5D6E-409C-BE32-E72D297353CC}">
              <c16:uniqueId val="{00000000-517F-4DAD-B56C-13C010D3B787}"/>
            </c:ext>
          </c:extLst>
        </c:ser>
        <c:dLbls>
          <c:showLegendKey val="0"/>
          <c:showVal val="0"/>
          <c:showCatName val="0"/>
          <c:showSerName val="0"/>
          <c:showPercent val="0"/>
          <c:showBubbleSize val="0"/>
        </c:dLbls>
        <c:gapWidth val="24"/>
        <c:overlap val="100"/>
        <c:axId val="678826280"/>
        <c:axId val="678821360"/>
      </c:barChart>
      <c:catAx>
        <c:axId val="6788262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78821360"/>
        <c:crosses val="autoZero"/>
        <c:auto val="1"/>
        <c:lblAlgn val="ctr"/>
        <c:lblOffset val="1"/>
        <c:noMultiLvlLbl val="0"/>
      </c:catAx>
      <c:valAx>
        <c:axId val="678821360"/>
        <c:scaling>
          <c:orientation val="minMax"/>
          <c:max val="1.25"/>
          <c:min val="0"/>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826280"/>
        <c:crosses val="autoZero"/>
        <c:crossBetween val="between"/>
        <c:majorUnit val="0.25"/>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image" Target="../media/image12.emf"/><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3.png"/></Relationships>
</file>

<file path=xl/drawings/_rels/drawing3.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7.jpeg"/><Relationship Id="rId3" Type="http://schemas.openxmlformats.org/officeDocument/2006/relationships/image" Target="../media/image17.png"/><Relationship Id="rId7" Type="http://schemas.openxmlformats.org/officeDocument/2006/relationships/image" Target="../media/image21.png"/><Relationship Id="rId12" Type="http://schemas.openxmlformats.org/officeDocument/2006/relationships/image" Target="../media/image26.PNG"/><Relationship Id="rId17" Type="http://schemas.openxmlformats.org/officeDocument/2006/relationships/image" Target="../media/image31.png"/><Relationship Id="rId2" Type="http://schemas.openxmlformats.org/officeDocument/2006/relationships/image" Target="../media/image16.png"/><Relationship Id="rId16" Type="http://schemas.openxmlformats.org/officeDocument/2006/relationships/image" Target="../media/image30.png"/><Relationship Id="rId1" Type="http://schemas.openxmlformats.org/officeDocument/2006/relationships/image" Target="../media/image15.png"/><Relationship Id="rId6" Type="http://schemas.openxmlformats.org/officeDocument/2006/relationships/image" Target="../media/image20.wmf"/><Relationship Id="rId11" Type="http://schemas.openxmlformats.org/officeDocument/2006/relationships/image" Target="../media/image25.PNG"/><Relationship Id="rId5" Type="http://schemas.openxmlformats.org/officeDocument/2006/relationships/image" Target="../media/image19.png"/><Relationship Id="rId15" Type="http://schemas.openxmlformats.org/officeDocument/2006/relationships/image" Target="../media/image2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 Id="rId14"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1</xdr:col>
      <xdr:colOff>304800</xdr:colOff>
      <xdr:row>69</xdr:row>
      <xdr:rowOff>63500</xdr:rowOff>
    </xdr:from>
    <xdr:to>
      <xdr:col>22</xdr:col>
      <xdr:colOff>342900</xdr:colOff>
      <xdr:row>69</xdr:row>
      <xdr:rowOff>63500</xdr:rowOff>
    </xdr:to>
    <xdr:cxnSp macro="">
      <xdr:nvCxnSpPr>
        <xdr:cNvPr id="9" name="Straight Connector 8">
          <a:extLst>
            <a:ext uri="{FF2B5EF4-FFF2-40B4-BE49-F238E27FC236}">
              <a16:creationId xmlns:a16="http://schemas.microsoft.com/office/drawing/2014/main" id="{6DEDFD6D-91CF-447E-9EC9-5F719E551279}"/>
            </a:ext>
          </a:extLst>
        </xdr:cNvPr>
        <xdr:cNvCxnSpPr/>
      </xdr:nvCxnSpPr>
      <xdr:spPr>
        <a:xfrm>
          <a:off x="485775" y="11388725"/>
          <a:ext cx="8915400" cy="0"/>
        </a:xfrm>
        <a:prstGeom prst="line">
          <a:avLst/>
        </a:prstGeom>
        <a:ln w="19050">
          <a:solidFill>
            <a:srgbClr val="FF0066"/>
          </a:solidFill>
          <a:prstDash val="sysDash"/>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28575</xdr:colOff>
          <xdr:row>27</xdr:row>
          <xdr:rowOff>200025</xdr:rowOff>
        </xdr:from>
        <xdr:to>
          <xdr:col>9</xdr:col>
          <xdr:colOff>34925</xdr:colOff>
          <xdr:row>32</xdr:row>
          <xdr:rowOff>123491</xdr:rowOff>
        </xdr:to>
        <xdr:pic>
          <xdr:nvPicPr>
            <xdr:cNvPr id="3" name="Picture 2">
              <a:extLst>
                <a:ext uri="{FF2B5EF4-FFF2-40B4-BE49-F238E27FC236}">
                  <a16:creationId xmlns:a16="http://schemas.microsoft.com/office/drawing/2014/main" id="{D7F09E5C-B394-489A-AFD9-F2628403B0A2}"/>
                </a:ext>
              </a:extLst>
            </xdr:cNvPr>
            <xdr:cNvPicPr>
              <a:picLocks noChangeAspect="1" noChangeArrowheads="1"/>
              <a:extLst>
                <a:ext uri="{84589F7E-364E-4C9E-8A38-B11213B215E9}">
                  <a14:cameraTool cellRange="NeocateImages2" spid="_x0000_s8272"/>
                </a:ext>
              </a:extLst>
            </xdr:cNvPicPr>
          </xdr:nvPicPr>
          <xdr:blipFill>
            <a:blip xmlns:r="http://schemas.openxmlformats.org/officeDocument/2006/relationships" r:embed="rId1"/>
            <a:srcRect/>
            <a:stretch>
              <a:fillRect/>
            </a:stretch>
          </xdr:blipFill>
          <xdr:spPr bwMode="auto">
            <a:xfrm>
              <a:off x="4664075" y="5343525"/>
              <a:ext cx="768350" cy="107281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168275</xdr:colOff>
      <xdr:row>58</xdr:row>
      <xdr:rowOff>76200</xdr:rowOff>
    </xdr:from>
    <xdr:to>
      <xdr:col>2</xdr:col>
      <xdr:colOff>606425</xdr:colOff>
      <xdr:row>60</xdr:row>
      <xdr:rowOff>104516</xdr:rowOff>
    </xdr:to>
    <xdr:pic>
      <xdr:nvPicPr>
        <xdr:cNvPr id="5" name="Picture 4">
          <a:extLst>
            <a:ext uri="{FF2B5EF4-FFF2-40B4-BE49-F238E27FC236}">
              <a16:creationId xmlns:a16="http://schemas.microsoft.com/office/drawing/2014/main" id="{8450BF2E-896D-4FF4-B7CF-98E08105469A}"/>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168275" y="9839325"/>
          <a:ext cx="1279525" cy="412491"/>
        </a:xfrm>
        <a:prstGeom prst="rect">
          <a:avLst/>
        </a:prstGeom>
      </xdr:spPr>
    </xdr:pic>
    <xdr:clientData/>
  </xdr:twoCellAnchor>
  <xdr:twoCellAnchor editAs="oneCell">
    <xdr:from>
      <xdr:col>10</xdr:col>
      <xdr:colOff>1184276</xdr:colOff>
      <xdr:row>0</xdr:row>
      <xdr:rowOff>84931</xdr:rowOff>
    </xdr:from>
    <xdr:to>
      <xdr:col>17</xdr:col>
      <xdr:colOff>381847</xdr:colOff>
      <xdr:row>2</xdr:row>
      <xdr:rowOff>152400</xdr:rowOff>
    </xdr:to>
    <xdr:sp macro="" textlink="">
      <xdr:nvSpPr>
        <xdr:cNvPr id="2" name="Rectangle 1">
          <a:extLst>
            <a:ext uri="{FF2B5EF4-FFF2-40B4-BE49-F238E27FC236}">
              <a16:creationId xmlns:a16="http://schemas.microsoft.com/office/drawing/2014/main" id="{943E36B5-3BC7-4750-8C17-FE95C2B32DA7}"/>
            </a:ext>
          </a:extLst>
        </xdr:cNvPr>
        <xdr:cNvSpPr/>
      </xdr:nvSpPr>
      <xdr:spPr>
        <a:xfrm>
          <a:off x="5735109" y="84931"/>
          <a:ext cx="2710180" cy="691886"/>
        </a:xfrm>
        <a:prstGeom prst="rect">
          <a:avLst/>
        </a:prstGeom>
        <a:solidFill>
          <a:srgbClr val="FF99FF">
            <a:alpha val="32941"/>
          </a:srgbClr>
        </a:solidFill>
        <a:ln w="38100">
          <a:solidFill>
            <a:srgbClr val="CC66FF">
              <a:alpha val="50196"/>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9144" tIns="9144" rIns="9144" bIns="9144" rtlCol="0" anchor="ctr"/>
        <a:lstStyle/>
        <a:p>
          <a:pPr algn="ctr"/>
          <a:r>
            <a:rPr lang="en-US" sz="1000" b="1" i="0">
              <a:solidFill>
                <a:schemeClr val="tx1"/>
              </a:solidFill>
              <a:latin typeface="+mn-lt"/>
            </a:rPr>
            <a:t>Want to add nutrient</a:t>
          </a:r>
          <a:r>
            <a:rPr lang="en-US" sz="1000" b="1" i="0" baseline="0">
              <a:solidFill>
                <a:schemeClr val="tx1"/>
              </a:solidFill>
              <a:latin typeface="+mn-lt"/>
            </a:rPr>
            <a:t> intake from other sources? </a:t>
          </a:r>
          <a:r>
            <a:rPr lang="en-US" sz="1000" b="0" i="0">
              <a:solidFill>
                <a:schemeClr val="tx1"/>
              </a:solidFill>
              <a:latin typeface="+mn-lt"/>
            </a:rPr>
            <a:t>Click plus icon </a:t>
          </a:r>
          <a:r>
            <a:rPr lang="en-US" sz="1050" b="0" i="0">
              <a:solidFill>
                <a:schemeClr val="tx1"/>
              </a:solidFill>
              <a:effectLst/>
              <a:latin typeface="+mn-lt"/>
              <a:ea typeface="+mn-ea"/>
              <a:cs typeface="+mn-cs"/>
            </a:rPr>
            <a:t>⊞</a:t>
          </a:r>
          <a:r>
            <a:rPr lang="en-US" sz="1000" b="0" i="0">
              <a:solidFill>
                <a:schemeClr val="tx1"/>
              </a:solidFill>
              <a:effectLst/>
              <a:latin typeface="+mn-lt"/>
              <a:ea typeface="+mn-ea"/>
              <a:cs typeface="+mn-cs"/>
            </a:rPr>
            <a:t> </a:t>
          </a:r>
          <a:r>
            <a:rPr lang="en-US" sz="1000" i="0">
              <a:solidFill>
                <a:schemeClr val="tx1"/>
              </a:solidFill>
              <a:latin typeface="+mn-lt"/>
            </a:rPr>
            <a:t>above </a:t>
          </a:r>
          <a:r>
            <a:rPr lang="en-US" sz="1000" b="1" i="0">
              <a:solidFill>
                <a:schemeClr val="tx1"/>
              </a:solidFill>
              <a:latin typeface="+mn-lt"/>
            </a:rPr>
            <a:t>↗</a:t>
          </a:r>
          <a:r>
            <a:rPr lang="en-US" sz="1000" i="0">
              <a:solidFill>
                <a:schemeClr val="tx1"/>
              </a:solidFill>
              <a:latin typeface="+mn-lt"/>
            </a:rPr>
            <a:t> to unhide columns and manually enter nutrient intake from other sources.</a:t>
          </a:r>
          <a:r>
            <a:rPr lang="en-US" sz="1000" i="0" baseline="0">
              <a:solidFill>
                <a:schemeClr val="tx1"/>
              </a:solidFill>
              <a:latin typeface="+mn-lt"/>
            </a:rPr>
            <a:t> This will</a:t>
          </a:r>
          <a:r>
            <a:rPr lang="en-US" sz="1000" i="0">
              <a:solidFill>
                <a:schemeClr val="tx1"/>
              </a:solidFill>
              <a:latin typeface="+mn-lt"/>
            </a:rPr>
            <a:t> display DRI% from DIET; C</a:t>
          </a:r>
          <a:r>
            <a:rPr lang="en-US" sz="1000" b="0" i="0">
              <a:solidFill>
                <a:schemeClr val="tx1"/>
              </a:solidFill>
              <a:latin typeface="+mn-lt"/>
            </a:rPr>
            <a:t>lick </a:t>
          </a:r>
          <a:r>
            <a:rPr lang="en-US" sz="1050" b="0" i="0">
              <a:solidFill>
                <a:schemeClr val="tx1"/>
              </a:solidFill>
              <a:effectLst/>
              <a:latin typeface="+mn-lt"/>
              <a:ea typeface="+mn-ea"/>
              <a:cs typeface="+mn-cs"/>
            </a:rPr>
            <a:t>⊟</a:t>
          </a:r>
          <a:r>
            <a:rPr lang="en-US" sz="1000" b="0" i="0">
              <a:solidFill>
                <a:schemeClr val="tx1"/>
              </a:solidFill>
              <a:effectLst/>
              <a:latin typeface="+mn-lt"/>
              <a:ea typeface="+mn-ea"/>
              <a:cs typeface="+mn-cs"/>
            </a:rPr>
            <a:t> to hide.</a:t>
          </a:r>
          <a:endParaRPr lang="en-US" sz="1000" i="0">
            <a:solidFill>
              <a:schemeClr val="tx1"/>
            </a:solidFill>
            <a:latin typeface="+mn-lt"/>
          </a:endParaRPr>
        </a:p>
      </xdr:txBody>
    </xdr:sp>
    <xdr:clientData fPrintsWithSheet="0"/>
  </xdr:twoCellAnchor>
  <xdr:twoCellAnchor editAs="oneCell">
    <xdr:from>
      <xdr:col>14</xdr:col>
      <xdr:colOff>293686</xdr:colOff>
      <xdr:row>82</xdr:row>
      <xdr:rowOff>1832</xdr:rowOff>
    </xdr:from>
    <xdr:to>
      <xdr:col>19</xdr:col>
      <xdr:colOff>246272</xdr:colOff>
      <xdr:row>84</xdr:row>
      <xdr:rowOff>111197</xdr:rowOff>
    </xdr:to>
    <xdr:grpSp>
      <xdr:nvGrpSpPr>
        <xdr:cNvPr id="12" name="Group 11">
          <a:extLst>
            <a:ext uri="{FF2B5EF4-FFF2-40B4-BE49-F238E27FC236}">
              <a16:creationId xmlns:a16="http://schemas.microsoft.com/office/drawing/2014/main" id="{8B7EF7EE-E53A-4EDA-B0A1-1B8D0D406D15}"/>
            </a:ext>
          </a:extLst>
        </xdr:cNvPr>
        <xdr:cNvGrpSpPr>
          <a:grpSpLocks noChangeAspect="1"/>
        </xdr:cNvGrpSpPr>
      </xdr:nvGrpSpPr>
      <xdr:grpSpPr>
        <a:xfrm>
          <a:off x="7996236" y="15762532"/>
          <a:ext cx="2594186" cy="477665"/>
          <a:chOff x="8534398" y="13830298"/>
          <a:chExt cx="2563495" cy="452800"/>
        </a:xfrm>
      </xdr:grpSpPr>
      <xdr:sp macro="" textlink="">
        <xdr:nvSpPr>
          <xdr:cNvPr id="4" name="Rectangle 3">
            <a:extLst>
              <a:ext uri="{FF2B5EF4-FFF2-40B4-BE49-F238E27FC236}">
                <a16:creationId xmlns:a16="http://schemas.microsoft.com/office/drawing/2014/main" id="{8D8F2ECC-96BF-480B-95E8-669A20A26B86}"/>
              </a:ext>
            </a:extLst>
          </xdr:cNvPr>
          <xdr:cNvSpPr/>
        </xdr:nvSpPr>
        <xdr:spPr>
          <a:xfrm>
            <a:off x="8534398" y="13830298"/>
            <a:ext cx="2563495" cy="45280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en-US" sz="1100" b="1" i="0" u="none" strike="noStrike" kern="0" cap="none" spc="0" normalizeH="0" baseline="0" noProof="0">
                <a:ln>
                  <a:solidFill>
                    <a:sysClr val="windowText" lastClr="000000"/>
                  </a:solidFill>
                </a:ln>
                <a:solidFill>
                  <a:srgbClr val="BDFF39"/>
                </a:solidFill>
                <a:effectLst/>
                <a:uLnTx/>
                <a:uFillTx/>
                <a:latin typeface="+mn-lt"/>
                <a:ea typeface="+mn-ea"/>
                <a:cs typeface="+mn-cs"/>
                <a:sym typeface="Webdings" panose="05030102010509060703" pitchFamily="18" charset="2"/>
              </a:rPr>
              <a:t> </a:t>
            </a:r>
            <a:r>
              <a:rPr kumimoji="0" lang="en-US" sz="1100" b="1" i="0" u="none" strike="noStrike" kern="0" cap="none" spc="0" normalizeH="0" baseline="0" noProof="0">
                <a:ln>
                  <a:solidFill>
                    <a:sysClr val="windowText" lastClr="000000"/>
                  </a:solidFill>
                </a:ln>
                <a:solidFill>
                  <a:srgbClr val="FF9999"/>
                </a:solidFill>
                <a:effectLst/>
                <a:uLnTx/>
                <a:uFillTx/>
                <a:latin typeface="+mn-lt"/>
                <a:ea typeface="+mn-ea"/>
                <a:cs typeface="+mn-cs"/>
                <a:sym typeface="Webdings" panose="05030102010509060703" pitchFamily="18" charset="2"/>
              </a:rPr>
              <a:t> </a:t>
            </a:r>
            <a:r>
              <a:rPr kumimoji="0" lang="en-US" sz="1100" b="1" i="0" u="none" strike="noStrike" kern="0" cap="none" spc="0" normalizeH="0" baseline="0" noProof="0">
                <a:ln>
                  <a:solidFill>
                    <a:sysClr val="windowText" lastClr="000000"/>
                  </a:solidFill>
                </a:ln>
                <a:solidFill>
                  <a:srgbClr val="FF99FF"/>
                </a:solidFill>
                <a:effectLst/>
                <a:uLnTx/>
                <a:uFillTx/>
                <a:latin typeface="+mn-lt"/>
                <a:ea typeface="+mn-ea"/>
                <a:cs typeface="+mn-cs"/>
                <a:sym typeface="Webdings" panose="05030102010509060703" pitchFamily="18" charset="2"/>
              </a:rPr>
              <a:t> </a:t>
            </a:r>
            <a:r>
              <a:rPr kumimoji="0" lang="en-US" sz="1100" b="1" i="0" u="none" strike="noStrike" kern="0" cap="none" spc="0" normalizeH="0" baseline="0" noProof="0">
                <a:ln>
                  <a:solidFill>
                    <a:sysClr val="windowText" lastClr="000000"/>
                  </a:solidFill>
                </a:ln>
                <a:solidFill>
                  <a:srgbClr val="33CCFF"/>
                </a:solidFill>
                <a:effectLst/>
                <a:uLnTx/>
                <a:uFillTx/>
                <a:latin typeface="+mn-lt"/>
                <a:ea typeface="+mn-ea"/>
                <a:cs typeface="+mn-cs"/>
                <a:sym typeface="Webdings" panose="05030102010509060703" pitchFamily="18" charset="2"/>
              </a:rPr>
              <a:t> </a:t>
            </a:r>
            <a:r>
              <a:rPr kumimoji="0" lang="en-US" sz="1100" b="1" i="0" u="none" strike="noStrike" kern="0" cap="none" spc="0" normalizeH="0" baseline="0" noProof="0">
                <a:ln>
                  <a:solidFill>
                    <a:sysClr val="windowText" lastClr="000000"/>
                  </a:solidFill>
                </a:ln>
                <a:solidFill>
                  <a:schemeClr val="accent1">
                    <a:lumMod val="60000"/>
                    <a:lumOff val="40000"/>
                  </a:schemeClr>
                </a:solidFill>
                <a:effectLst/>
                <a:uLnTx/>
                <a:uFillTx/>
                <a:latin typeface="+mn-lt"/>
                <a:ea typeface="+mn-ea"/>
                <a:cs typeface="+mn-cs"/>
                <a:sym typeface="Webdings" panose="05030102010509060703" pitchFamily="18" charset="2"/>
              </a:rPr>
              <a:t> </a:t>
            </a:r>
            <a:r>
              <a:rPr kumimoji="0" lang="en-US" sz="1100" b="1" i="0" u="none" strike="noStrike" kern="0" cap="none" spc="0" normalizeH="0" baseline="0" noProof="0">
                <a:ln>
                  <a:solidFill>
                    <a:sysClr val="windowText" lastClr="000000"/>
                  </a:solidFill>
                </a:ln>
                <a:solidFill>
                  <a:srgbClr val="9966FF"/>
                </a:solidFill>
                <a:effectLst/>
                <a:uLnTx/>
                <a:uFillTx/>
                <a:latin typeface="+mn-lt"/>
                <a:ea typeface="+mn-ea"/>
                <a:cs typeface="+mn-cs"/>
                <a:sym typeface="Webdings" panose="05030102010509060703" pitchFamily="18" charset="2"/>
              </a:rPr>
              <a:t></a:t>
            </a:r>
            <a:r>
              <a:rPr kumimoji="0" lang="en-US" sz="1100" b="1" i="0" u="none" strike="noStrike" kern="0" cap="none" spc="0" normalizeH="0" baseline="0" noProof="0">
                <a:ln>
                  <a:solidFill>
                    <a:sysClr val="windowText" lastClr="000000"/>
                  </a:solidFill>
                </a:ln>
                <a:solidFill>
                  <a:srgbClr val="CC99FF"/>
                </a:solidFill>
                <a:effectLst/>
                <a:uLnTx/>
                <a:uFillTx/>
                <a:latin typeface="+mn-lt"/>
                <a:ea typeface="+mn-ea"/>
                <a:cs typeface="+mn-cs"/>
                <a:sym typeface="Webdings" panose="05030102010509060703" pitchFamily="18" charset="2"/>
              </a:rPr>
              <a:t> </a:t>
            </a:r>
            <a:r>
              <a:rPr kumimoji="0" lang="en-US" sz="1100" b="1" i="0" u="none" strike="noStrike" kern="0" cap="none" spc="0" normalizeH="0" baseline="0" noProof="0">
                <a:ln>
                  <a:noFill/>
                </a:ln>
                <a:solidFill>
                  <a:sysClr val="windowText" lastClr="000000"/>
                </a:solidFill>
                <a:effectLst/>
                <a:uLnTx/>
                <a:uFillTx/>
                <a:latin typeface="+mn-lt"/>
                <a:ea typeface="+mn-ea"/>
                <a:cs typeface="+mn-cs"/>
                <a:sym typeface="Webdings" panose="05030102010509060703" pitchFamily="18" charset="2"/>
              </a:rPr>
              <a:t>= </a:t>
            </a:r>
            <a:r>
              <a:rPr lang="en-US" sz="1100" b="1">
                <a:ln>
                  <a:noFill/>
                </a:ln>
                <a:solidFill>
                  <a:sysClr val="windowText" lastClr="000000"/>
                </a:solidFill>
                <a:latin typeface="+mn-lt"/>
                <a:sym typeface="Wingdings 2" panose="05020102010507070707" pitchFamily="18" charset="2"/>
              </a:rPr>
              <a:t>FORMULA%</a:t>
            </a:r>
            <a:br>
              <a:rPr lang="en-US" sz="1100" b="1">
                <a:ln>
                  <a:noFill/>
                </a:ln>
                <a:solidFill>
                  <a:sysClr val="windowText" lastClr="000000"/>
                </a:solidFill>
                <a:latin typeface="+mn-lt"/>
                <a:sym typeface="Wingdings 2" panose="05020102010507070707" pitchFamily="18" charset="2"/>
              </a:rPr>
            </a:br>
            <a:r>
              <a:rPr lang="en-US" sz="1100" b="1">
                <a:ln>
                  <a:noFill/>
                </a:ln>
                <a:solidFill>
                  <a:sysClr val="windowText" lastClr="000000"/>
                </a:solidFill>
                <a:latin typeface="+mn-lt"/>
                <a:sym typeface="Wingdings 2" panose="05020102010507070707" pitchFamily="18" charset="2"/>
              </a:rPr>
              <a:t>                            </a:t>
            </a:r>
            <a:r>
              <a:rPr kumimoji="0" lang="en-US" sz="1100" b="1" i="0" u="none" strike="noStrike" kern="0" cap="none" spc="0" normalizeH="0" baseline="0" noProof="0">
                <a:ln>
                  <a:solidFill>
                    <a:sysClr val="windowText" lastClr="000000"/>
                  </a:solidFill>
                </a:ln>
                <a:noFill/>
                <a:effectLst/>
                <a:uLnTx/>
                <a:uFillTx/>
                <a:latin typeface="+mn-lt"/>
                <a:ea typeface="+mn-ea"/>
                <a:cs typeface="+mn-cs"/>
                <a:sym typeface="Webdings" panose="05030102010509060703" pitchFamily="18" charset="2"/>
              </a:rPr>
              <a:t>    </a:t>
            </a:r>
            <a:r>
              <a:rPr kumimoji="0" lang="en-US" sz="600" b="1" i="0" u="none" strike="noStrike" kern="0" cap="none" spc="0" normalizeH="0" baseline="0" noProof="0">
                <a:ln>
                  <a:solidFill>
                    <a:sysClr val="windowText" lastClr="000000"/>
                  </a:solidFill>
                </a:ln>
                <a:noFill/>
                <a:effectLst/>
                <a:uLnTx/>
                <a:uFillTx/>
                <a:latin typeface="+mn-lt"/>
                <a:ea typeface="+mn-ea"/>
                <a:cs typeface="+mn-cs"/>
                <a:sym typeface="Webdings" panose="05030102010509060703" pitchFamily="18" charset="2"/>
              </a:rPr>
              <a:t> </a:t>
            </a:r>
            <a:r>
              <a:rPr kumimoji="0" lang="en-US" sz="1100" b="1" i="0" u="none" strike="noStrike" kern="0" cap="none" spc="0" normalizeH="0" baseline="0" noProof="0">
                <a:ln>
                  <a:noFill/>
                </a:ln>
                <a:solidFill>
                  <a:sysClr val="windowText" lastClr="000000"/>
                </a:solidFill>
                <a:effectLst/>
                <a:uLnTx/>
                <a:uFillTx/>
                <a:latin typeface="+mn-lt"/>
                <a:ea typeface="+mn-ea"/>
                <a:cs typeface="+mn-cs"/>
                <a:sym typeface="Webdings" panose="05030102010509060703" pitchFamily="18" charset="2"/>
              </a:rPr>
              <a:t>= DIET%  </a:t>
            </a:r>
            <a:r>
              <a:rPr kumimoji="0" lang="en-US" sz="1100" b="1" i="0" u="none" strike="noStrike" kern="0" cap="none" spc="0" normalizeH="0" baseline="0" noProof="0">
                <a:ln>
                  <a:solidFill>
                    <a:sysClr val="windowText" lastClr="000000"/>
                  </a:solidFill>
                </a:ln>
                <a:noFill/>
                <a:effectLst/>
                <a:uLnTx/>
                <a:uFillTx/>
                <a:latin typeface="+mn-lt"/>
                <a:ea typeface="+mn-ea"/>
                <a:cs typeface="+mn-cs"/>
                <a:sym typeface="Webdings" panose="05030102010509060703" pitchFamily="18" charset="2"/>
              </a:rPr>
              <a:t> </a:t>
            </a:r>
            <a:endParaRPr lang="en-US" sz="1100" b="1">
              <a:ln>
                <a:noFill/>
              </a:ln>
              <a:solidFill>
                <a:sysClr val="windowText" lastClr="000000"/>
              </a:solidFill>
              <a:latin typeface="+mn-lt"/>
            </a:endParaRPr>
          </a:p>
        </xdr:txBody>
      </xdr:sp>
      <xdr:pic>
        <xdr:nvPicPr>
          <xdr:cNvPr id="11" name="Picture 10">
            <a:extLst>
              <a:ext uri="{FF2B5EF4-FFF2-40B4-BE49-F238E27FC236}">
                <a16:creationId xmlns:a16="http://schemas.microsoft.com/office/drawing/2014/main" id="{EB83146B-4EEB-45E6-8F11-9382BBC72ABB}"/>
              </a:ext>
            </a:extLst>
          </xdr:cNvPr>
          <xdr:cNvPicPr>
            <a:picLocks noChangeAspect="1"/>
          </xdr:cNvPicPr>
        </xdr:nvPicPr>
        <xdr:blipFill>
          <a:blip xmlns:r="http://schemas.openxmlformats.org/officeDocument/2006/relationships" r:embed="rId3"/>
          <a:stretch>
            <a:fillRect/>
          </a:stretch>
        </xdr:blipFill>
        <xdr:spPr>
          <a:xfrm>
            <a:off x="8629024" y="14043287"/>
            <a:ext cx="126748" cy="125024"/>
          </a:xfrm>
          <a:prstGeom prst="rect">
            <a:avLst/>
          </a:prstGeom>
          <a:ln w="10795">
            <a:solidFill>
              <a:schemeClr val="tx1"/>
            </a:solidFill>
          </a:ln>
        </xdr:spPr>
      </xdr:pic>
      <xdr:pic>
        <xdr:nvPicPr>
          <xdr:cNvPr id="13" name="Picture 12">
            <a:extLst>
              <a:ext uri="{FF2B5EF4-FFF2-40B4-BE49-F238E27FC236}">
                <a16:creationId xmlns:a16="http://schemas.microsoft.com/office/drawing/2014/main" id="{9C15ACCC-4DDC-4AF1-A007-2D7379E56FB0}"/>
              </a:ext>
            </a:extLst>
          </xdr:cNvPr>
          <xdr:cNvPicPr>
            <a:picLocks noChangeAspect="1"/>
          </xdr:cNvPicPr>
        </xdr:nvPicPr>
        <xdr:blipFill>
          <a:blip xmlns:r="http://schemas.openxmlformats.org/officeDocument/2006/relationships" r:embed="rId3"/>
          <a:stretch>
            <a:fillRect/>
          </a:stretch>
        </xdr:blipFill>
        <xdr:spPr>
          <a:xfrm>
            <a:off x="8796448" y="14043287"/>
            <a:ext cx="126748" cy="125024"/>
          </a:xfrm>
          <a:prstGeom prst="rect">
            <a:avLst/>
          </a:prstGeom>
          <a:ln w="10795">
            <a:solidFill>
              <a:schemeClr val="tx1"/>
            </a:solidFill>
          </a:ln>
        </xdr:spPr>
      </xdr:pic>
      <xdr:pic>
        <xdr:nvPicPr>
          <xdr:cNvPr id="14" name="Picture 13">
            <a:extLst>
              <a:ext uri="{FF2B5EF4-FFF2-40B4-BE49-F238E27FC236}">
                <a16:creationId xmlns:a16="http://schemas.microsoft.com/office/drawing/2014/main" id="{A1153BEA-4BA6-4949-970E-F80A2AAB73B2}"/>
              </a:ext>
            </a:extLst>
          </xdr:cNvPr>
          <xdr:cNvPicPr>
            <a:picLocks noChangeAspect="1"/>
          </xdr:cNvPicPr>
        </xdr:nvPicPr>
        <xdr:blipFill>
          <a:blip xmlns:r="http://schemas.openxmlformats.org/officeDocument/2006/relationships" r:embed="rId3"/>
          <a:stretch>
            <a:fillRect/>
          </a:stretch>
        </xdr:blipFill>
        <xdr:spPr>
          <a:xfrm>
            <a:off x="8963872" y="14043287"/>
            <a:ext cx="126748" cy="125024"/>
          </a:xfrm>
          <a:prstGeom prst="rect">
            <a:avLst/>
          </a:prstGeom>
          <a:ln w="10795">
            <a:solidFill>
              <a:schemeClr val="tx1"/>
            </a:solidFill>
          </a:ln>
        </xdr:spPr>
      </xdr:pic>
      <xdr:pic>
        <xdr:nvPicPr>
          <xdr:cNvPr id="15" name="Picture 14">
            <a:extLst>
              <a:ext uri="{FF2B5EF4-FFF2-40B4-BE49-F238E27FC236}">
                <a16:creationId xmlns:a16="http://schemas.microsoft.com/office/drawing/2014/main" id="{7381F010-D3E2-4BD2-B2DE-BCD091B31595}"/>
              </a:ext>
            </a:extLst>
          </xdr:cNvPr>
          <xdr:cNvPicPr>
            <a:picLocks noChangeAspect="1"/>
          </xdr:cNvPicPr>
        </xdr:nvPicPr>
        <xdr:blipFill>
          <a:blip xmlns:r="http://schemas.openxmlformats.org/officeDocument/2006/relationships" r:embed="rId3"/>
          <a:stretch>
            <a:fillRect/>
          </a:stretch>
        </xdr:blipFill>
        <xdr:spPr>
          <a:xfrm>
            <a:off x="9131296" y="14043287"/>
            <a:ext cx="126748" cy="125024"/>
          </a:xfrm>
          <a:prstGeom prst="rect">
            <a:avLst/>
          </a:prstGeom>
          <a:ln w="10795">
            <a:solidFill>
              <a:schemeClr val="tx1"/>
            </a:solidFill>
          </a:ln>
        </xdr:spPr>
      </xdr:pic>
      <xdr:pic>
        <xdr:nvPicPr>
          <xdr:cNvPr id="16" name="Picture 15">
            <a:extLst>
              <a:ext uri="{FF2B5EF4-FFF2-40B4-BE49-F238E27FC236}">
                <a16:creationId xmlns:a16="http://schemas.microsoft.com/office/drawing/2014/main" id="{0A42032D-D331-4F36-BF09-782E9A16699B}"/>
              </a:ext>
            </a:extLst>
          </xdr:cNvPr>
          <xdr:cNvPicPr>
            <a:picLocks noChangeAspect="1"/>
          </xdr:cNvPicPr>
        </xdr:nvPicPr>
        <xdr:blipFill>
          <a:blip xmlns:r="http://schemas.openxmlformats.org/officeDocument/2006/relationships" r:embed="rId3"/>
          <a:stretch>
            <a:fillRect/>
          </a:stretch>
        </xdr:blipFill>
        <xdr:spPr>
          <a:xfrm>
            <a:off x="9298720" y="14043287"/>
            <a:ext cx="126748" cy="125024"/>
          </a:xfrm>
          <a:prstGeom prst="rect">
            <a:avLst/>
          </a:prstGeom>
          <a:ln w="10795">
            <a:solidFill>
              <a:schemeClr val="tx1"/>
            </a:solidFill>
          </a:ln>
        </xdr:spPr>
      </xdr:pic>
      <xdr:pic>
        <xdr:nvPicPr>
          <xdr:cNvPr id="17" name="Picture 16">
            <a:extLst>
              <a:ext uri="{FF2B5EF4-FFF2-40B4-BE49-F238E27FC236}">
                <a16:creationId xmlns:a16="http://schemas.microsoft.com/office/drawing/2014/main" id="{9561DFAD-F4F8-4EAD-AB3D-88C3EE46FAE8}"/>
              </a:ext>
            </a:extLst>
          </xdr:cNvPr>
          <xdr:cNvPicPr>
            <a:picLocks noChangeAspect="1"/>
          </xdr:cNvPicPr>
        </xdr:nvPicPr>
        <xdr:blipFill>
          <a:blip xmlns:r="http://schemas.openxmlformats.org/officeDocument/2006/relationships" r:embed="rId3"/>
          <a:stretch>
            <a:fillRect/>
          </a:stretch>
        </xdr:blipFill>
        <xdr:spPr>
          <a:xfrm>
            <a:off x="9466142" y="14043287"/>
            <a:ext cx="126903" cy="125024"/>
          </a:xfrm>
          <a:prstGeom prst="rect">
            <a:avLst/>
          </a:prstGeom>
          <a:ln w="10795">
            <a:solidFill>
              <a:schemeClr val="tx1"/>
            </a:solidFill>
          </a:ln>
        </xdr:spPr>
      </xdr:pic>
    </xdr:grpSp>
    <xdr:clientData/>
  </xdr:twoCellAnchor>
  <xdr:twoCellAnchor>
    <xdr:from>
      <xdr:col>0</xdr:col>
      <xdr:colOff>76198</xdr:colOff>
      <xdr:row>64</xdr:row>
      <xdr:rowOff>146049</xdr:rowOff>
    </xdr:from>
    <xdr:to>
      <xdr:col>22</xdr:col>
      <xdr:colOff>488949</xdr:colOff>
      <xdr:row>84</xdr:row>
      <xdr:rowOff>28575</xdr:rowOff>
    </xdr:to>
    <xdr:graphicFrame macro="">
      <xdr:nvGraphicFramePr>
        <xdr:cNvPr id="7" name="Chart 6">
          <a:extLst>
            <a:ext uri="{FF2B5EF4-FFF2-40B4-BE49-F238E27FC236}">
              <a16:creationId xmlns:a16="http://schemas.microsoft.com/office/drawing/2014/main" id="{5C8FD81D-0101-4CAC-8198-85DD016CC9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28575</xdr:colOff>
      <xdr:row>61</xdr:row>
      <xdr:rowOff>6350</xdr:rowOff>
    </xdr:from>
    <xdr:to>
      <xdr:col>3</xdr:col>
      <xdr:colOff>9525</xdr:colOff>
      <xdr:row>63</xdr:row>
      <xdr:rowOff>46961</xdr:rowOff>
    </xdr:to>
    <xdr:pic>
      <xdr:nvPicPr>
        <xdr:cNvPr id="6" name="Picture 5">
          <a:extLst>
            <a:ext uri="{FF2B5EF4-FFF2-40B4-BE49-F238E27FC236}">
              <a16:creationId xmlns:a16="http://schemas.microsoft.com/office/drawing/2014/main" id="{56DA075F-50C1-4B7E-95A5-D0B678CF0AA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209550" y="10588625"/>
          <a:ext cx="1285875" cy="4216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87580</xdr:colOff>
      <xdr:row>58</xdr:row>
      <xdr:rowOff>69273</xdr:rowOff>
    </xdr:from>
    <xdr:to>
      <xdr:col>7</xdr:col>
      <xdr:colOff>198005</xdr:colOff>
      <xdr:row>61</xdr:row>
      <xdr:rowOff>161330</xdr:rowOff>
    </xdr:to>
    <xdr:pic>
      <xdr:nvPicPr>
        <xdr:cNvPr id="295" name="Picture 294">
          <a:extLst>
            <a:ext uri="{FF2B5EF4-FFF2-40B4-BE49-F238E27FC236}">
              <a16:creationId xmlns:a16="http://schemas.microsoft.com/office/drawing/2014/main" id="{271282A7-73AB-46CD-8D57-C8B2F4014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5250130" y="11232573"/>
          <a:ext cx="913700" cy="781032"/>
        </a:xfrm>
        <a:prstGeom prst="rect">
          <a:avLst/>
        </a:prstGeom>
      </xdr:spPr>
    </xdr:pic>
    <xdr:clientData/>
  </xdr:twoCellAnchor>
  <xdr:twoCellAnchor editAs="oneCell">
    <xdr:from>
      <xdr:col>9</xdr:col>
      <xdr:colOff>485322</xdr:colOff>
      <xdr:row>35</xdr:row>
      <xdr:rowOff>185964</xdr:rowOff>
    </xdr:from>
    <xdr:to>
      <xdr:col>11</xdr:col>
      <xdr:colOff>140714</xdr:colOff>
      <xdr:row>38</xdr:row>
      <xdr:rowOff>133110</xdr:rowOff>
    </xdr:to>
    <xdr:pic>
      <xdr:nvPicPr>
        <xdr:cNvPr id="293" name="Picture 292">
          <a:extLst>
            <a:ext uri="{FF2B5EF4-FFF2-40B4-BE49-F238E27FC236}">
              <a16:creationId xmlns:a16="http://schemas.microsoft.com/office/drawing/2014/main" id="{EADCD12F-6B15-4E61-AFDF-90442BF2AA2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375072" y="7243535"/>
          <a:ext cx="390178" cy="530398"/>
        </a:xfrm>
        <a:prstGeom prst="rect">
          <a:avLst/>
        </a:prstGeom>
      </xdr:spPr>
    </xdr:pic>
    <xdr:clientData/>
  </xdr:twoCellAnchor>
  <xdr:twoCellAnchor editAs="oneCell">
    <xdr:from>
      <xdr:col>9</xdr:col>
      <xdr:colOff>27214</xdr:colOff>
      <xdr:row>35</xdr:row>
      <xdr:rowOff>217715</xdr:rowOff>
    </xdr:from>
    <xdr:to>
      <xdr:col>10</xdr:col>
      <xdr:colOff>49092</xdr:colOff>
      <xdr:row>37</xdr:row>
      <xdr:rowOff>50388</xdr:rowOff>
    </xdr:to>
    <xdr:pic>
      <xdr:nvPicPr>
        <xdr:cNvPr id="203" name="Picture 202">
          <a:extLst>
            <a:ext uri="{FF2B5EF4-FFF2-40B4-BE49-F238E27FC236}">
              <a16:creationId xmlns:a16="http://schemas.microsoft.com/office/drawing/2014/main" id="{1471B27A-2A53-4193-8735-E19ABA2EAE9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916964" y="7275286"/>
          <a:ext cx="575235" cy="254000"/>
        </a:xfrm>
        <a:prstGeom prst="rect">
          <a:avLst/>
        </a:prstGeom>
      </xdr:spPr>
    </xdr:pic>
    <xdr:clientData/>
  </xdr:twoCellAnchor>
  <xdr:twoCellAnchor editAs="oneCell">
    <xdr:from>
      <xdr:col>9</xdr:col>
      <xdr:colOff>358324</xdr:colOff>
      <xdr:row>28</xdr:row>
      <xdr:rowOff>72574</xdr:rowOff>
    </xdr:from>
    <xdr:to>
      <xdr:col>11</xdr:col>
      <xdr:colOff>198773</xdr:colOff>
      <xdr:row>29</xdr:row>
      <xdr:rowOff>136074</xdr:rowOff>
    </xdr:to>
    <xdr:pic>
      <xdr:nvPicPr>
        <xdr:cNvPr id="291" name="Picture 290">
          <a:extLst>
            <a:ext uri="{FF2B5EF4-FFF2-40B4-BE49-F238E27FC236}">
              <a16:creationId xmlns:a16="http://schemas.microsoft.com/office/drawing/2014/main" id="{2F03A0BD-A5AC-4EEC-8E1C-30FF0EF0CBA8}"/>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248074" y="5828395"/>
          <a:ext cx="575235" cy="254000"/>
        </a:xfrm>
        <a:prstGeom prst="rect">
          <a:avLst/>
        </a:prstGeom>
      </xdr:spPr>
    </xdr:pic>
    <xdr:clientData/>
  </xdr:twoCellAnchor>
  <xdr:twoCellAnchor editAs="oneCell">
    <xdr:from>
      <xdr:col>8</xdr:col>
      <xdr:colOff>466044</xdr:colOff>
      <xdr:row>26</xdr:row>
      <xdr:rowOff>129267</xdr:rowOff>
    </xdr:from>
    <xdr:to>
      <xdr:col>10</xdr:col>
      <xdr:colOff>133588</xdr:colOff>
      <xdr:row>28</xdr:row>
      <xdr:rowOff>122411</xdr:rowOff>
    </xdr:to>
    <xdr:pic>
      <xdr:nvPicPr>
        <xdr:cNvPr id="196" name="Picture 195">
          <a:extLst>
            <a:ext uri="{FF2B5EF4-FFF2-40B4-BE49-F238E27FC236}">
              <a16:creationId xmlns:a16="http://schemas.microsoft.com/office/drawing/2014/main" id="{EDD8FB76-2832-4DED-B0AC-BA1C06E31A26}"/>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800169" y="5565321"/>
          <a:ext cx="769723" cy="320848"/>
        </a:xfrm>
        <a:prstGeom prst="rect">
          <a:avLst/>
        </a:prstGeom>
      </xdr:spPr>
    </xdr:pic>
    <xdr:clientData/>
  </xdr:twoCellAnchor>
  <xdr:twoCellAnchor editAs="oneCell">
    <xdr:from>
      <xdr:col>9</xdr:col>
      <xdr:colOff>230240</xdr:colOff>
      <xdr:row>12</xdr:row>
      <xdr:rowOff>486384</xdr:rowOff>
    </xdr:from>
    <xdr:to>
      <xdr:col>11</xdr:col>
      <xdr:colOff>193175</xdr:colOff>
      <xdr:row>16</xdr:row>
      <xdr:rowOff>84368</xdr:rowOff>
    </xdr:to>
    <xdr:pic>
      <xdr:nvPicPr>
        <xdr:cNvPr id="6" name="Picture 5">
          <a:extLst>
            <a:ext uri="{FF2B5EF4-FFF2-40B4-BE49-F238E27FC236}">
              <a16:creationId xmlns:a16="http://schemas.microsoft.com/office/drawing/2014/main" id="{B3183CAB-7E17-44CF-A6D5-86D9F8580C9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7450190" y="2877159"/>
          <a:ext cx="743985" cy="801309"/>
        </a:xfrm>
        <a:prstGeom prst="rect">
          <a:avLst/>
        </a:prstGeom>
      </xdr:spPr>
    </xdr:pic>
    <xdr:clientData/>
  </xdr:twoCellAnchor>
  <xdr:twoCellAnchor editAs="oneCell">
    <xdr:from>
      <xdr:col>8</xdr:col>
      <xdr:colOff>198007</xdr:colOff>
      <xdr:row>12</xdr:row>
      <xdr:rowOff>685199</xdr:rowOff>
    </xdr:from>
    <xdr:to>
      <xdr:col>9</xdr:col>
      <xdr:colOff>416641</xdr:colOff>
      <xdr:row>14</xdr:row>
      <xdr:rowOff>124077</xdr:rowOff>
    </xdr:to>
    <xdr:pic>
      <xdr:nvPicPr>
        <xdr:cNvPr id="4" name="Picture 3">
          <a:extLst>
            <a:ext uri="{FF2B5EF4-FFF2-40B4-BE49-F238E27FC236}">
              <a16:creationId xmlns:a16="http://schemas.microsoft.com/office/drawing/2014/main" id="{2AE50E4A-78E8-4727-AD15-09F80A6B5BD8}"/>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533419" y="2685449"/>
          <a:ext cx="772114" cy="322043"/>
        </a:xfrm>
        <a:prstGeom prst="rect">
          <a:avLst/>
        </a:prstGeom>
      </xdr:spPr>
    </xdr:pic>
    <xdr:clientData/>
  </xdr:twoCellAnchor>
  <xdr:oneCellAnchor>
    <xdr:from>
      <xdr:col>8</xdr:col>
      <xdr:colOff>499786</xdr:colOff>
      <xdr:row>13</xdr:row>
      <xdr:rowOff>15394</xdr:rowOff>
    </xdr:from>
    <xdr:ext cx="232393" cy="234111"/>
    <xdr:sp macro="" textlink="">
      <xdr:nvSpPr>
        <xdr:cNvPr id="13" name="AutoShape 79">
          <a:extLst>
            <a:ext uri="{FF2B5EF4-FFF2-40B4-BE49-F238E27FC236}">
              <a16:creationId xmlns:a16="http://schemas.microsoft.com/office/drawing/2014/main" id="{00000000-0008-0000-0200-00000D000000}"/>
            </a:ext>
          </a:extLst>
        </xdr:cNvPr>
        <xdr:cNvSpPr>
          <a:spLocks noChangeAspect="1" noChangeArrowheads="1"/>
        </xdr:cNvSpPr>
      </xdr:nvSpPr>
      <xdr:spPr bwMode="auto">
        <a:xfrm rot="19247250">
          <a:off x="6836143" y="2802201"/>
          <a:ext cx="232393" cy="234111"/>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6</xdr:col>
          <xdr:colOff>0</xdr:colOff>
          <xdr:row>3</xdr:row>
          <xdr:rowOff>0</xdr:rowOff>
        </xdr:from>
        <xdr:to>
          <xdr:col>7</xdr:col>
          <xdr:colOff>0</xdr:colOff>
          <xdr:row>8</xdr:row>
          <xdr:rowOff>12366</xdr:rowOff>
        </xdr:to>
        <xdr:pic>
          <xdr:nvPicPr>
            <xdr:cNvPr id="191" name="Picture 190">
              <a:extLst>
                <a:ext uri="{FF2B5EF4-FFF2-40B4-BE49-F238E27FC236}">
                  <a16:creationId xmlns:a16="http://schemas.microsoft.com/office/drawing/2014/main" id="{F27E3CA4-F03C-4235-8A55-C33527C34DC5}"/>
                </a:ext>
              </a:extLst>
            </xdr:cNvPr>
            <xdr:cNvPicPr>
              <a:picLocks noChangeAspect="1" noChangeArrowheads="1"/>
              <a:extLst>
                <a:ext uri="{84589F7E-364E-4C9E-8A38-B11213B215E9}">
                  <a14:cameraTool cellRange="NeocateImages" spid="_x0000_s6804"/>
                </a:ext>
              </a:extLst>
            </xdr:cNvPicPr>
          </xdr:nvPicPr>
          <xdr:blipFill>
            <a:blip xmlns:r="http://schemas.openxmlformats.org/officeDocument/2006/relationships" r:embed="rId7"/>
            <a:srcRect/>
            <a:stretch>
              <a:fillRect/>
            </a:stretch>
          </xdr:blipFill>
          <xdr:spPr bwMode="auto">
            <a:xfrm>
              <a:off x="4924425" y="619125"/>
              <a:ext cx="762000" cy="107916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0</xdr:colOff>
          <xdr:row>56</xdr:row>
          <xdr:rowOff>143119</xdr:rowOff>
        </xdr:to>
        <xdr:pic>
          <xdr:nvPicPr>
            <xdr:cNvPr id="193" name="Picture 192">
              <a:extLst>
                <a:ext uri="{FF2B5EF4-FFF2-40B4-BE49-F238E27FC236}">
                  <a16:creationId xmlns:a16="http://schemas.microsoft.com/office/drawing/2014/main" id="{BBCE63D8-1789-459A-A0BD-F9F43D4A16F9}"/>
                </a:ext>
              </a:extLst>
            </xdr:cNvPr>
            <xdr:cNvPicPr>
              <a:picLocks noChangeAspect="1" noChangeArrowheads="1"/>
              <a:extLst>
                <a:ext uri="{84589F7E-364E-4C9E-8A38-B11213B215E9}">
                  <a14:cameraTool cellRange="NeocateImages" spid="_x0000_s6805"/>
                </a:ext>
              </a:extLst>
            </xdr:cNvPicPr>
          </xdr:nvPicPr>
          <xdr:blipFill>
            <a:blip xmlns:r="http://schemas.openxmlformats.org/officeDocument/2006/relationships" r:embed="rId7"/>
            <a:srcRect/>
            <a:stretch>
              <a:fillRect/>
            </a:stretch>
          </xdr:blipFill>
          <xdr:spPr bwMode="auto">
            <a:xfrm>
              <a:off x="4924425" y="12201525"/>
              <a:ext cx="762000" cy="107281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111125</xdr:colOff>
      <xdr:row>12</xdr:row>
      <xdr:rowOff>44450</xdr:rowOff>
    </xdr:from>
    <xdr:to>
      <xdr:col>11</xdr:col>
      <xdr:colOff>44450</xdr:colOff>
      <xdr:row>12</xdr:row>
      <xdr:rowOff>466710</xdr:rowOff>
    </xdr:to>
    <xdr:pic>
      <xdr:nvPicPr>
        <xdr:cNvPr id="14" name="Picture 13">
          <a:extLst>
            <a:ext uri="{FF2B5EF4-FFF2-40B4-BE49-F238E27FC236}">
              <a16:creationId xmlns:a16="http://schemas.microsoft.com/office/drawing/2014/main" id="{541328D8-2AF7-431B-A661-CCFEE1F1AB3C}"/>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6750050" y="2435225"/>
          <a:ext cx="1289050" cy="425435"/>
        </a:xfrm>
        <a:prstGeom prst="rect">
          <a:avLst/>
        </a:prstGeom>
      </xdr:spPr>
    </xdr:pic>
    <xdr:clientData/>
  </xdr:twoCellAnchor>
  <xdr:twoCellAnchor editAs="oneCell">
    <xdr:from>
      <xdr:col>6</xdr:col>
      <xdr:colOff>57150</xdr:colOff>
      <xdr:row>12</xdr:row>
      <xdr:rowOff>28575</xdr:rowOff>
    </xdr:from>
    <xdr:to>
      <xdr:col>8</xdr:col>
      <xdr:colOff>63500</xdr:colOff>
      <xdr:row>12</xdr:row>
      <xdr:rowOff>512595</xdr:rowOff>
    </xdr:to>
    <xdr:pic>
      <xdr:nvPicPr>
        <xdr:cNvPr id="3" name="Picture 2">
          <a:extLst>
            <a:ext uri="{FF2B5EF4-FFF2-40B4-BE49-F238E27FC236}">
              <a16:creationId xmlns:a16="http://schemas.microsoft.com/office/drawing/2014/main" id="{320501AF-8014-AB48-5995-E7D65F9554A1}"/>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val="0"/>
            </a:ext>
          </a:extLst>
        </a:blip>
        <a:stretch>
          <a:fillRect/>
        </a:stretch>
      </xdr:blipFill>
      <xdr:spPr>
        <a:xfrm>
          <a:off x="5219700" y="2505075"/>
          <a:ext cx="1482725" cy="4840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304405</xdr:colOff>
      <xdr:row>9</xdr:row>
      <xdr:rowOff>61127</xdr:rowOff>
    </xdr:from>
    <xdr:to>
      <xdr:col>5</xdr:col>
      <xdr:colOff>573087</xdr:colOff>
      <xdr:row>9</xdr:row>
      <xdr:rowOff>702478</xdr:rowOff>
    </xdr:to>
    <xdr:pic>
      <xdr:nvPicPr>
        <xdr:cNvPr id="2" name="Picture 1">
          <a:extLst>
            <a:ext uri="{FF2B5EF4-FFF2-40B4-BE49-F238E27FC236}">
              <a16:creationId xmlns:a16="http://schemas.microsoft.com/office/drawing/2014/main" id="{9125E0D5-5329-4C89-B8C9-B4822F2171CC}"/>
            </a:ext>
          </a:extLst>
        </xdr:cNvPr>
        <xdr:cNvPicPr>
          <a:picLocks noChangeAspect="1"/>
        </xdr:cNvPicPr>
      </xdr:nvPicPr>
      <xdr:blipFill rotWithShape="1">
        <a:blip xmlns:r="http://schemas.openxmlformats.org/officeDocument/2006/relationships" r:embed="rId1"/>
        <a:srcRect l="28778" t="3170" r="29234" b="4035"/>
        <a:stretch/>
      </xdr:blipFill>
      <xdr:spPr>
        <a:xfrm>
          <a:off x="9781780" y="8308190"/>
          <a:ext cx="268682" cy="631826"/>
        </a:xfrm>
        <a:prstGeom prst="rect">
          <a:avLst/>
        </a:prstGeom>
      </xdr:spPr>
    </xdr:pic>
    <xdr:clientData/>
  </xdr:twoCellAnchor>
  <xdr:twoCellAnchor>
    <xdr:from>
      <xdr:col>5</xdr:col>
      <xdr:colOff>160831</xdr:colOff>
      <xdr:row>10</xdr:row>
      <xdr:rowOff>206609</xdr:rowOff>
    </xdr:from>
    <xdr:to>
      <xdr:col>5</xdr:col>
      <xdr:colOff>744502</xdr:colOff>
      <xdr:row>10</xdr:row>
      <xdr:rowOff>980868</xdr:rowOff>
    </xdr:to>
    <xdr:pic>
      <xdr:nvPicPr>
        <xdr:cNvPr id="3" name="Picture 2">
          <a:extLst>
            <a:ext uri="{FF2B5EF4-FFF2-40B4-BE49-F238E27FC236}">
              <a16:creationId xmlns:a16="http://schemas.microsoft.com/office/drawing/2014/main" id="{7A13A1E0-34BB-4ECF-B9CC-E8730206530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rcRect/>
        <a:stretch/>
      </xdr:blipFill>
      <xdr:spPr>
        <a:xfrm>
          <a:off x="5101925" y="9469672"/>
          <a:ext cx="583671" cy="774259"/>
        </a:xfrm>
        <a:prstGeom prst="rect">
          <a:avLst/>
        </a:prstGeom>
      </xdr:spPr>
    </xdr:pic>
    <xdr:clientData/>
  </xdr:twoCellAnchor>
  <xdr:twoCellAnchor>
    <xdr:from>
      <xdr:col>5</xdr:col>
      <xdr:colOff>148590</xdr:colOff>
      <xdr:row>8</xdr:row>
      <xdr:rowOff>243726</xdr:rowOff>
    </xdr:from>
    <xdr:to>
      <xdr:col>5</xdr:col>
      <xdr:colOff>707314</xdr:colOff>
      <xdr:row>8</xdr:row>
      <xdr:rowOff>987641</xdr:rowOff>
    </xdr:to>
    <xdr:pic>
      <xdr:nvPicPr>
        <xdr:cNvPr id="12" name="Picture 11" descr="\\FILESERVER1\Files\public\PRODUCTS\Labels\HypoGI\Can Images_2012\Neocate Nutra Image.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9625965" y="7466851"/>
          <a:ext cx="558724" cy="743915"/>
        </a:xfrm>
        <a:prstGeom prst="rect">
          <a:avLst/>
        </a:prstGeom>
        <a:noFill/>
        <a:effectLst/>
      </xdr:spPr>
    </xdr:pic>
    <xdr:clientData/>
  </xdr:twoCellAnchor>
  <xdr:twoCellAnchor>
    <xdr:from>
      <xdr:col>5</xdr:col>
      <xdr:colOff>71773</xdr:colOff>
      <xdr:row>2</xdr:row>
      <xdr:rowOff>191052</xdr:rowOff>
    </xdr:from>
    <xdr:to>
      <xdr:col>5</xdr:col>
      <xdr:colOff>705079</xdr:colOff>
      <xdr:row>3</xdr:row>
      <xdr:rowOff>19968</xdr:rowOff>
    </xdr:to>
    <xdr:pic>
      <xdr:nvPicPr>
        <xdr:cNvPr id="19" name="Picture 18">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val="0"/>
            </a:ext>
          </a:extLst>
        </a:blip>
        <a:srcRect/>
        <a:stretch/>
      </xdr:blipFill>
      <xdr:spPr bwMode="auto">
        <a:xfrm>
          <a:off x="9549148" y="1270552"/>
          <a:ext cx="633306" cy="852854"/>
        </a:xfrm>
        <a:prstGeom prst="rect">
          <a:avLst/>
        </a:prstGeom>
        <a:noFill/>
        <a:ln w="9525">
          <a:noFill/>
          <a:miter lim="800000"/>
          <a:headEnd/>
          <a:tailEnd/>
        </a:ln>
        <a:effectLst/>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125502</xdr:colOff>
      <xdr:row>5</xdr:row>
      <xdr:rowOff>115203</xdr:rowOff>
    </xdr:from>
    <xdr:to>
      <xdr:col>5</xdr:col>
      <xdr:colOff>716795</xdr:colOff>
      <xdr:row>5</xdr:row>
      <xdr:rowOff>967931</xdr:rowOff>
    </xdr:to>
    <xdr:pic>
      <xdr:nvPicPr>
        <xdr:cNvPr id="25" name="Picture 24">
          <a:extLst>
            <a:ext uri="{FF2B5EF4-FFF2-40B4-BE49-F238E27FC236}">
              <a16:creationId xmlns:a16="http://schemas.microsoft.com/office/drawing/2014/main" id="{6D50DC59-F325-4B2F-A574-7A8A3296295F}"/>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9602877" y="4266516"/>
          <a:ext cx="591293" cy="852728"/>
        </a:xfrm>
        <a:prstGeom prst="rect">
          <a:avLst/>
        </a:prstGeom>
      </xdr:spPr>
    </xdr:pic>
    <xdr:clientData/>
  </xdr:twoCellAnchor>
  <xdr:twoCellAnchor>
    <xdr:from>
      <xdr:col>5</xdr:col>
      <xdr:colOff>36950</xdr:colOff>
      <xdr:row>10</xdr:row>
      <xdr:rowOff>804699</xdr:rowOff>
    </xdr:from>
    <xdr:to>
      <xdr:col>5</xdr:col>
      <xdr:colOff>222255</xdr:colOff>
      <xdr:row>10</xdr:row>
      <xdr:rowOff>928336</xdr:rowOff>
    </xdr:to>
    <xdr:pic>
      <xdr:nvPicPr>
        <xdr:cNvPr id="41" name="Picture 40" descr="C:\Documents and Settings\mccandro\Local Settings\Temporary Internet Files\Content.IE5\PXM9X5O0\MC900309844[1].wmf">
          <a:extLst>
            <a:ext uri="{FF2B5EF4-FFF2-40B4-BE49-F238E27FC236}">
              <a16:creationId xmlns:a16="http://schemas.microsoft.com/office/drawing/2014/main" id="{FBD8DE03-E841-4A6F-91C6-86A1550BA4B7}"/>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520894" y="25651811"/>
          <a:ext cx="185305" cy="123637"/>
        </a:xfrm>
        <a:prstGeom prst="rect">
          <a:avLst/>
        </a:prstGeom>
        <a:noFill/>
        <a:ln w="9525">
          <a:noFill/>
          <a:miter lim="800000"/>
          <a:headEnd/>
          <a:tailEnd/>
        </a:ln>
        <a:effectLst/>
      </xdr:spPr>
    </xdr:pic>
    <xdr:clientData/>
  </xdr:twoCellAnchor>
  <xdr:twoCellAnchor>
    <xdr:from>
      <xdr:col>5</xdr:col>
      <xdr:colOff>59531</xdr:colOff>
      <xdr:row>3</xdr:row>
      <xdr:rowOff>833437</xdr:rowOff>
    </xdr:from>
    <xdr:to>
      <xdr:col>5</xdr:col>
      <xdr:colOff>244836</xdr:colOff>
      <xdr:row>3</xdr:row>
      <xdr:rowOff>957074</xdr:rowOff>
    </xdr:to>
    <xdr:pic>
      <xdr:nvPicPr>
        <xdr:cNvPr id="27" name="Picture 26" descr="C:\Documents and Settings\mccandro\Local Settings\Temporary Internet Files\Content.IE5\PXM9X5O0\MC900309844[1].wmf">
          <a:extLst>
            <a:ext uri="{FF2B5EF4-FFF2-40B4-BE49-F238E27FC236}">
              <a16:creationId xmlns:a16="http://schemas.microsoft.com/office/drawing/2014/main" id="{E72E94EA-8022-45B5-89CB-267E31D896E8}"/>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25634156" y="29646562"/>
          <a:ext cx="185305" cy="123637"/>
        </a:xfrm>
        <a:prstGeom prst="rect">
          <a:avLst/>
        </a:prstGeom>
        <a:noFill/>
        <a:ln w="9525">
          <a:noFill/>
          <a:miter lim="800000"/>
          <a:headEnd/>
          <a:tailEnd/>
        </a:ln>
        <a:effectLst/>
      </xdr:spPr>
    </xdr:pic>
    <xdr:clientData/>
  </xdr:twoCellAnchor>
  <xdr:twoCellAnchor>
    <xdr:from>
      <xdr:col>5</xdr:col>
      <xdr:colOff>104168</xdr:colOff>
      <xdr:row>4</xdr:row>
      <xdr:rowOff>130759</xdr:rowOff>
    </xdr:from>
    <xdr:to>
      <xdr:col>5</xdr:col>
      <xdr:colOff>702572</xdr:colOff>
      <xdr:row>4</xdr:row>
      <xdr:rowOff>936039</xdr:rowOff>
    </xdr:to>
    <xdr:pic>
      <xdr:nvPicPr>
        <xdr:cNvPr id="52" name="Picture 51">
          <a:extLst>
            <a:ext uri="{FF2B5EF4-FFF2-40B4-BE49-F238E27FC236}">
              <a16:creationId xmlns:a16="http://schemas.microsoft.com/office/drawing/2014/main" id="{58FBA8A1-9B2D-4EBA-84C5-67854947762D}"/>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5057168" y="3258134"/>
          <a:ext cx="598404" cy="805280"/>
        </a:xfrm>
        <a:prstGeom prst="rect">
          <a:avLst/>
        </a:prstGeom>
      </xdr:spPr>
    </xdr:pic>
    <xdr:clientData/>
  </xdr:twoCellAnchor>
  <xdr:twoCellAnchor>
    <xdr:from>
      <xdr:col>5</xdr:col>
      <xdr:colOff>68450</xdr:colOff>
      <xdr:row>6</xdr:row>
      <xdr:rowOff>237331</xdr:rowOff>
    </xdr:from>
    <xdr:to>
      <xdr:col>5</xdr:col>
      <xdr:colOff>693737</xdr:colOff>
      <xdr:row>7</xdr:row>
      <xdr:rowOff>38058</xdr:rowOff>
    </xdr:to>
    <xdr:pic>
      <xdr:nvPicPr>
        <xdr:cNvPr id="53" name="Picture 52">
          <a:extLst>
            <a:ext uri="{FF2B5EF4-FFF2-40B4-BE49-F238E27FC236}">
              <a16:creationId xmlns:a16="http://schemas.microsoft.com/office/drawing/2014/main" id="{DA666369-D037-44BE-A5D6-E6944F6A4DA9}"/>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9545825" y="5412581"/>
          <a:ext cx="625287" cy="824665"/>
        </a:xfrm>
        <a:prstGeom prst="rect">
          <a:avLst/>
        </a:prstGeom>
      </xdr:spPr>
    </xdr:pic>
    <xdr:clientData/>
  </xdr:twoCellAnchor>
  <xdr:twoCellAnchor>
    <xdr:from>
      <xdr:col>5</xdr:col>
      <xdr:colOff>45015</xdr:colOff>
      <xdr:row>7</xdr:row>
      <xdr:rowOff>243360</xdr:rowOff>
    </xdr:from>
    <xdr:to>
      <xdr:col>5</xdr:col>
      <xdr:colOff>558922</xdr:colOff>
      <xdr:row>7</xdr:row>
      <xdr:rowOff>925739</xdr:rowOff>
    </xdr:to>
    <xdr:pic>
      <xdr:nvPicPr>
        <xdr:cNvPr id="54" name="Picture 53">
          <a:extLst>
            <a:ext uri="{FF2B5EF4-FFF2-40B4-BE49-F238E27FC236}">
              <a16:creationId xmlns:a16="http://schemas.microsoft.com/office/drawing/2014/main" id="{0F58C61B-DDCA-4B92-B5D3-505004DA9F17}"/>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9522390" y="6442548"/>
          <a:ext cx="513907" cy="682379"/>
        </a:xfrm>
        <a:prstGeom prst="rect">
          <a:avLst/>
        </a:prstGeom>
      </xdr:spPr>
    </xdr:pic>
    <xdr:clientData/>
  </xdr:twoCellAnchor>
  <xdr:twoCellAnchor>
    <xdr:from>
      <xdr:col>5</xdr:col>
      <xdr:colOff>105911</xdr:colOff>
      <xdr:row>3</xdr:row>
      <xdr:rowOff>91045</xdr:rowOff>
    </xdr:from>
    <xdr:to>
      <xdr:col>5</xdr:col>
      <xdr:colOff>731512</xdr:colOff>
      <xdr:row>3</xdr:row>
      <xdr:rowOff>922580</xdr:rowOff>
    </xdr:to>
    <xdr:pic>
      <xdr:nvPicPr>
        <xdr:cNvPr id="55" name="Picture 54">
          <a:extLst>
            <a:ext uri="{FF2B5EF4-FFF2-40B4-BE49-F238E27FC236}">
              <a16:creationId xmlns:a16="http://schemas.microsoft.com/office/drawing/2014/main" id="{9E4FE11A-0B7B-449E-9D56-20849CB3C6B1}"/>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5058911" y="2194483"/>
          <a:ext cx="625601" cy="831535"/>
        </a:xfrm>
        <a:prstGeom prst="rect">
          <a:avLst/>
        </a:prstGeom>
      </xdr:spPr>
    </xdr:pic>
    <xdr:clientData/>
  </xdr:twoCellAnchor>
  <xdr:twoCellAnchor>
    <xdr:from>
      <xdr:col>5</xdr:col>
      <xdr:colOff>513842</xdr:colOff>
      <xdr:row>9</xdr:row>
      <xdr:rowOff>47548</xdr:rowOff>
    </xdr:from>
    <xdr:to>
      <xdr:col>5</xdr:col>
      <xdr:colOff>758824</xdr:colOff>
      <xdr:row>9</xdr:row>
      <xdr:rowOff>708923</xdr:rowOff>
    </xdr:to>
    <xdr:pic>
      <xdr:nvPicPr>
        <xdr:cNvPr id="46" name="Picture 45">
          <a:extLst>
            <a:ext uri="{FF2B5EF4-FFF2-40B4-BE49-F238E27FC236}">
              <a16:creationId xmlns:a16="http://schemas.microsoft.com/office/drawing/2014/main" id="{9C32CDF6-D778-493D-940E-AB9E948D0B03}"/>
            </a:ext>
          </a:extLst>
        </xdr:cNvPr>
        <xdr:cNvPicPr preferRelativeResize="0">
          <a:picLocks noChangeAspect="1"/>
        </xdr:cNvPicPr>
      </xdr:nvPicPr>
      <xdr:blipFill>
        <a:blip xmlns:r="http://schemas.openxmlformats.org/officeDocument/2006/relationships" r:embed="rId11" cstate="screen">
          <a:clrChange>
            <a:clrFrom>
              <a:srgbClr val="FEFEFE"/>
            </a:clrFrom>
            <a:clrTo>
              <a:srgbClr val="FEFEFE">
                <a:alpha val="0"/>
              </a:srgbClr>
            </a:clrTo>
          </a:clrChange>
          <a:extLst>
            <a:ext uri="{28A0092B-C50C-407E-A947-70E740481C1C}">
              <a14:useLocalDpi xmlns:a14="http://schemas.microsoft.com/office/drawing/2010/main"/>
            </a:ext>
          </a:extLst>
        </a:blip>
        <a:stretch>
          <a:fillRect/>
        </a:stretch>
      </xdr:blipFill>
      <xdr:spPr>
        <a:xfrm>
          <a:off x="9991217" y="8294611"/>
          <a:ext cx="244982" cy="661375"/>
        </a:xfrm>
        <a:prstGeom prst="rect">
          <a:avLst/>
        </a:prstGeom>
      </xdr:spPr>
    </xdr:pic>
    <xdr:clientData/>
  </xdr:twoCellAnchor>
  <xdr:twoCellAnchor>
    <xdr:from>
      <xdr:col>5</xdr:col>
      <xdr:colOff>40286</xdr:colOff>
      <xdr:row>9</xdr:row>
      <xdr:rowOff>46565</xdr:rowOff>
    </xdr:from>
    <xdr:to>
      <xdr:col>5</xdr:col>
      <xdr:colOff>343045</xdr:colOff>
      <xdr:row>9</xdr:row>
      <xdr:rowOff>711431</xdr:rowOff>
    </xdr:to>
    <xdr:pic>
      <xdr:nvPicPr>
        <xdr:cNvPr id="57" name="Picture 56">
          <a:extLst>
            <a:ext uri="{FF2B5EF4-FFF2-40B4-BE49-F238E27FC236}">
              <a16:creationId xmlns:a16="http://schemas.microsoft.com/office/drawing/2014/main" id="{96D17D84-487C-4DB7-8834-B1DE5A508744}"/>
            </a:ext>
          </a:extLst>
        </xdr:cNvPr>
        <xdr:cNvPicPr>
          <a:picLocks noChangeAspect="1"/>
        </xdr:cNvPicPr>
      </xdr:nvPicPr>
      <xdr:blipFill>
        <a:blip xmlns:r="http://schemas.openxmlformats.org/officeDocument/2006/relationships" r:embed="rId12" cstate="screen">
          <a:clrChange>
            <a:clrFrom>
              <a:srgbClr val="FEFEFE"/>
            </a:clrFrom>
            <a:clrTo>
              <a:srgbClr val="FEFEFE">
                <a:alpha val="0"/>
              </a:srgbClr>
            </a:clrTo>
          </a:clrChange>
          <a:extLst>
            <a:ext uri="{28A0092B-C50C-407E-A947-70E740481C1C}">
              <a14:useLocalDpi xmlns:a14="http://schemas.microsoft.com/office/drawing/2010/main"/>
            </a:ext>
          </a:extLst>
        </a:blip>
        <a:stretch>
          <a:fillRect/>
        </a:stretch>
      </xdr:blipFill>
      <xdr:spPr>
        <a:xfrm>
          <a:off x="9517661" y="8293628"/>
          <a:ext cx="302759" cy="664866"/>
        </a:xfrm>
        <a:prstGeom prst="rect">
          <a:avLst/>
        </a:prstGeom>
      </xdr:spPr>
    </xdr:pic>
    <xdr:clientData/>
  </xdr:twoCellAnchor>
  <xdr:twoCellAnchor>
    <xdr:from>
      <xdr:col>5</xdr:col>
      <xdr:colOff>153094</xdr:colOff>
      <xdr:row>9</xdr:row>
      <xdr:rowOff>313930</xdr:rowOff>
    </xdr:from>
    <xdr:to>
      <xdr:col>5</xdr:col>
      <xdr:colOff>455853</xdr:colOff>
      <xdr:row>9</xdr:row>
      <xdr:rowOff>1006633</xdr:rowOff>
    </xdr:to>
    <xdr:pic>
      <xdr:nvPicPr>
        <xdr:cNvPr id="58" name="Picture 57" descr="P:\public\PRODUCTS\GI.Allergy\Images &amp; Logos\Neocate Splash Unflavored unit.jpg">
          <a:extLst>
            <a:ext uri="{FF2B5EF4-FFF2-40B4-BE49-F238E27FC236}">
              <a16:creationId xmlns:a16="http://schemas.microsoft.com/office/drawing/2014/main" id="{0B8F2442-E0E2-4540-BE36-571C19DBFC40}"/>
            </a:ext>
          </a:extLst>
        </xdr:cNvPr>
        <xdr:cNvPicPr>
          <a:picLocks noChangeAspect="1" noChangeArrowheads="1"/>
        </xdr:cNvPicPr>
      </xdr:nvPicPr>
      <xdr:blipFill>
        <a:blip xmlns:r="http://schemas.openxmlformats.org/officeDocument/2006/relationships" r:embed="rId13" cstate="screen">
          <a:clrChange>
            <a:clrFrom>
              <a:srgbClr val="FFFFFE"/>
            </a:clrFrom>
            <a:clrTo>
              <a:srgbClr val="FFFFFE">
                <a:alpha val="0"/>
              </a:srgbClr>
            </a:clrTo>
          </a:clrChange>
          <a:extLst>
            <a:ext uri="{28A0092B-C50C-407E-A947-70E740481C1C}">
              <a14:useLocalDpi xmlns:a14="http://schemas.microsoft.com/office/drawing/2010/main"/>
            </a:ext>
          </a:extLst>
        </a:blip>
        <a:srcRect/>
        <a:stretch>
          <a:fillRect/>
        </a:stretch>
      </xdr:blipFill>
      <xdr:spPr bwMode="auto">
        <a:xfrm>
          <a:off x="9630469" y="8560993"/>
          <a:ext cx="302759" cy="692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239009</xdr:colOff>
      <xdr:row>7</xdr:row>
      <xdr:rowOff>339860</xdr:rowOff>
    </xdr:from>
    <xdr:to>
      <xdr:col>6</xdr:col>
      <xdr:colOff>8745</xdr:colOff>
      <xdr:row>7</xdr:row>
      <xdr:rowOff>1021714</xdr:rowOff>
    </xdr:to>
    <xdr:pic>
      <xdr:nvPicPr>
        <xdr:cNvPr id="51" name="Picture 50">
          <a:extLst>
            <a:ext uri="{FF2B5EF4-FFF2-40B4-BE49-F238E27FC236}">
              <a16:creationId xmlns:a16="http://schemas.microsoft.com/office/drawing/2014/main" id="{56432040-F8C6-4BC2-BABF-FC05092DC829}"/>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9716384" y="6539048"/>
          <a:ext cx="531736" cy="681854"/>
        </a:xfrm>
        <a:prstGeom prst="rect">
          <a:avLst/>
        </a:prstGeom>
      </xdr:spPr>
    </xdr:pic>
    <xdr:clientData/>
  </xdr:twoCellAnchor>
  <xdr:twoCellAnchor>
    <xdr:from>
      <xdr:col>5</xdr:col>
      <xdr:colOff>400575</xdr:colOff>
      <xdr:row>9</xdr:row>
      <xdr:rowOff>317897</xdr:rowOff>
    </xdr:from>
    <xdr:to>
      <xdr:col>5</xdr:col>
      <xdr:colOff>691896</xdr:colOff>
      <xdr:row>9</xdr:row>
      <xdr:rowOff>993319</xdr:rowOff>
    </xdr:to>
    <xdr:pic>
      <xdr:nvPicPr>
        <xdr:cNvPr id="56" name="Picture 55">
          <a:extLst>
            <a:ext uri="{FF2B5EF4-FFF2-40B4-BE49-F238E27FC236}">
              <a16:creationId xmlns:a16="http://schemas.microsoft.com/office/drawing/2014/main" id="{58BBED42-3E0C-4530-93B1-E13745121D2B}"/>
            </a:ext>
          </a:extLst>
        </xdr:cNvPr>
        <xdr:cNvPicPr>
          <a:picLocks noChangeAspect="1"/>
        </xdr:cNvPicPr>
      </xdr:nvPicPr>
      <xdr:blipFill>
        <a:blip xmlns:r="http://schemas.openxmlformats.org/officeDocument/2006/relationships" r:embed="rId15" cstate="screen">
          <a:clrChange>
            <a:clrFrom>
              <a:srgbClr val="FEFEFE"/>
            </a:clrFrom>
            <a:clrTo>
              <a:srgbClr val="FEFEFE">
                <a:alpha val="0"/>
              </a:srgbClr>
            </a:clrTo>
          </a:clrChange>
          <a:extLst>
            <a:ext uri="{28A0092B-C50C-407E-A947-70E740481C1C}">
              <a14:useLocalDpi xmlns:a14="http://schemas.microsoft.com/office/drawing/2010/main"/>
            </a:ext>
          </a:extLst>
        </a:blip>
        <a:stretch>
          <a:fillRect/>
        </a:stretch>
      </xdr:blipFill>
      <xdr:spPr>
        <a:xfrm>
          <a:off x="9877950" y="8564960"/>
          <a:ext cx="291321" cy="675422"/>
        </a:xfrm>
        <a:prstGeom prst="rect">
          <a:avLst/>
        </a:prstGeom>
      </xdr:spPr>
    </xdr:pic>
    <xdr:clientData/>
  </xdr:twoCellAnchor>
  <xdr:twoCellAnchor editAs="oneCell">
    <xdr:from>
      <xdr:col>5</xdr:col>
      <xdr:colOff>107156</xdr:colOff>
      <xdr:row>12</xdr:row>
      <xdr:rowOff>237329</xdr:rowOff>
    </xdr:from>
    <xdr:to>
      <xdr:col>5</xdr:col>
      <xdr:colOff>720786</xdr:colOff>
      <xdr:row>12</xdr:row>
      <xdr:rowOff>999329</xdr:rowOff>
    </xdr:to>
    <xdr:pic>
      <xdr:nvPicPr>
        <xdr:cNvPr id="18" name="Picture 17">
          <a:extLst>
            <a:ext uri="{FF2B5EF4-FFF2-40B4-BE49-F238E27FC236}">
              <a16:creationId xmlns:a16="http://schemas.microsoft.com/office/drawing/2014/main" id="{0715B030-49D0-48E5-8183-2D841C54828B}"/>
            </a:ext>
          </a:extLst>
        </xdr:cNvPr>
        <xdr:cNvPicPr/>
      </xdr:nvPicPr>
      <xdr:blipFill>
        <a:blip xmlns:r="http://schemas.openxmlformats.org/officeDocument/2006/relationships" r:embed="rId16" cstate="screen">
          <a:extLst>
            <a:ext uri="{28A0092B-C50C-407E-A947-70E740481C1C}">
              <a14:useLocalDpi xmlns:a14="http://schemas.microsoft.com/office/drawing/2010/main" val="0"/>
            </a:ext>
          </a:extLst>
        </a:blip>
        <a:srcRect/>
        <a:stretch/>
      </xdr:blipFill>
      <xdr:spPr bwMode="auto">
        <a:xfrm>
          <a:off x="9584531" y="11556204"/>
          <a:ext cx="607280" cy="758825"/>
        </a:xfrm>
        <a:prstGeom prst="rect">
          <a:avLst/>
        </a:prstGeom>
        <a:noFill/>
        <a:ln>
          <a:noFill/>
        </a:ln>
      </xdr:spPr>
    </xdr:pic>
    <xdr:clientData/>
  </xdr:twoCellAnchor>
  <xdr:twoCellAnchor>
    <xdr:from>
      <xdr:col>5</xdr:col>
      <xdr:colOff>0</xdr:colOff>
      <xdr:row>12</xdr:row>
      <xdr:rowOff>821532</xdr:rowOff>
    </xdr:from>
    <xdr:to>
      <xdr:col>5</xdr:col>
      <xdr:colOff>188480</xdr:colOff>
      <xdr:row>12</xdr:row>
      <xdr:rowOff>938819</xdr:rowOff>
    </xdr:to>
    <xdr:pic>
      <xdr:nvPicPr>
        <xdr:cNvPr id="20" name="Picture 19" descr="C:\Documents and Settings\mccandro\Local Settings\Temporary Internet Files\Content.IE5\PXM9X5O0\MC900309844[1].wmf">
          <a:extLst>
            <a:ext uri="{FF2B5EF4-FFF2-40B4-BE49-F238E27FC236}">
              <a16:creationId xmlns:a16="http://schemas.microsoft.com/office/drawing/2014/main" id="{B1F2082E-56EB-452B-8BA6-7CC0A1292017}"/>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4941094" y="12132470"/>
          <a:ext cx="188480" cy="117287"/>
        </a:xfrm>
        <a:prstGeom prst="rect">
          <a:avLst/>
        </a:prstGeom>
        <a:noFill/>
        <a:ln w="9525">
          <a:noFill/>
          <a:miter lim="800000"/>
          <a:headEnd/>
          <a:tailEnd/>
        </a:ln>
        <a:effectLst/>
      </xdr:spPr>
    </xdr:pic>
    <xdr:clientData/>
  </xdr:twoCellAnchor>
  <xdr:twoCellAnchor>
    <xdr:from>
      <xdr:col>5</xdr:col>
      <xdr:colOff>42862</xdr:colOff>
      <xdr:row>11</xdr:row>
      <xdr:rowOff>777082</xdr:rowOff>
    </xdr:from>
    <xdr:to>
      <xdr:col>5</xdr:col>
      <xdr:colOff>228167</xdr:colOff>
      <xdr:row>11</xdr:row>
      <xdr:rowOff>897544</xdr:rowOff>
    </xdr:to>
    <xdr:pic>
      <xdr:nvPicPr>
        <xdr:cNvPr id="4" name="Picture 3" descr="C:\Documents and Settings\mccandro\Local Settings\Temporary Internet Files\Content.IE5\PXM9X5O0\MC900309844[1].wmf">
          <a:extLst>
            <a:ext uri="{FF2B5EF4-FFF2-40B4-BE49-F238E27FC236}">
              <a16:creationId xmlns:a16="http://schemas.microsoft.com/office/drawing/2014/main" id="{49588FC1-22E4-4929-9266-1F1D6BCEA6F2}"/>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520237" y="11072020"/>
          <a:ext cx="185305" cy="120462"/>
        </a:xfrm>
        <a:prstGeom prst="rect">
          <a:avLst/>
        </a:prstGeom>
        <a:noFill/>
        <a:ln w="9525">
          <a:noFill/>
          <a:miter lim="800000"/>
          <a:headEnd/>
          <a:tailEnd/>
        </a:ln>
        <a:effectLst/>
      </xdr:spPr>
    </xdr:pic>
    <xdr:clientData/>
  </xdr:twoCellAnchor>
  <xdr:twoCellAnchor editAs="oneCell">
    <xdr:from>
      <xdr:col>5</xdr:col>
      <xdr:colOff>147638</xdr:colOff>
      <xdr:row>11</xdr:row>
      <xdr:rowOff>194382</xdr:rowOff>
    </xdr:from>
    <xdr:to>
      <xdr:col>5</xdr:col>
      <xdr:colOff>704057</xdr:colOff>
      <xdr:row>11</xdr:row>
      <xdr:rowOff>969015</xdr:rowOff>
    </xdr:to>
    <xdr:pic>
      <xdr:nvPicPr>
        <xdr:cNvPr id="5" name="Picture 4">
          <a:extLst>
            <a:ext uri="{FF2B5EF4-FFF2-40B4-BE49-F238E27FC236}">
              <a16:creationId xmlns:a16="http://schemas.microsoft.com/office/drawing/2014/main" id="{F266A502-FD6A-E697-C90F-629DC982C914}"/>
            </a:ext>
          </a:extLst>
        </xdr:cNvPr>
        <xdr:cNvPicPr>
          <a:picLocks noChangeAspect="1"/>
        </xdr:cNvPicPr>
      </xdr:nvPicPr>
      <xdr:blipFill>
        <a:blip xmlns:r="http://schemas.openxmlformats.org/officeDocument/2006/relationships" r:embed="rId17"/>
        <a:stretch>
          <a:fillRect/>
        </a:stretch>
      </xdr:blipFill>
      <xdr:spPr>
        <a:xfrm>
          <a:off x="9625013" y="10489320"/>
          <a:ext cx="556419" cy="7651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p.nationalacademies.org/read/26818/chapter/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autoPageBreaks="0" fitToPage="1"/>
  </sheetPr>
  <dimension ref="A1:Z85"/>
  <sheetViews>
    <sheetView showGridLines="0" topLeftCell="B1" zoomScaleNormal="100" zoomScalePageLayoutView="70" workbookViewId="0">
      <selection activeCell="B26" sqref="B26:I26"/>
    </sheetView>
  </sheetViews>
  <sheetFormatPr defaultRowHeight="14.5" outlineLevelCol="1"/>
  <cols>
    <col min="1" max="1" width="2.54296875" customWidth="1"/>
    <col min="2" max="3" width="9.54296875" customWidth="1"/>
    <col min="4" max="4" width="6.7265625" customWidth="1"/>
    <col min="5" max="5" width="4.81640625" bestFit="1" customWidth="1"/>
    <col min="6" max="6" width="6" bestFit="1" customWidth="1"/>
    <col min="7" max="7" width="7.54296875" customWidth="1"/>
    <col min="8" max="8" width="22.453125" customWidth="1"/>
    <col min="9" max="9" width="11.453125" customWidth="1"/>
    <col min="10" max="10" width="3.54296875" customWidth="1"/>
    <col min="11" max="11" width="18.81640625" customWidth="1"/>
    <col min="12" max="12" width="2.7265625" customWidth="1"/>
    <col min="13" max="13" width="7.453125" hidden="1" customWidth="1"/>
    <col min="14" max="14" width="4.54296875" customWidth="1"/>
    <col min="15" max="15" width="7.54296875" customWidth="1"/>
    <col min="16" max="16" width="7.81640625" bestFit="1" customWidth="1"/>
    <col min="17" max="17" width="8.453125" bestFit="1" customWidth="1"/>
    <col min="18" max="18" width="7.54296875" bestFit="1" customWidth="1"/>
    <col min="19" max="19" width="6.453125" customWidth="1" outlineLevel="1"/>
    <col min="20" max="20" width="4.453125" customWidth="1" outlineLevel="1"/>
    <col min="21" max="21" width="8.26953125" customWidth="1" outlineLevel="1"/>
    <col min="22" max="22" width="8.7265625" customWidth="1"/>
    <col min="23" max="23" width="8" customWidth="1"/>
    <col min="24" max="24" width="2.7265625" customWidth="1"/>
  </cols>
  <sheetData>
    <row r="1" spans="2:25" ht="33.75" customHeight="1">
      <c r="B1" s="428" t="s">
        <v>0</v>
      </c>
      <c r="C1" s="428"/>
      <c r="D1" s="428"/>
      <c r="E1" s="428"/>
      <c r="F1" s="428"/>
      <c r="G1" s="428"/>
      <c r="H1" s="428"/>
      <c r="I1" s="398" t="s">
        <v>1</v>
      </c>
      <c r="J1" s="398"/>
      <c r="K1" s="398"/>
      <c r="L1" s="225"/>
      <c r="M1" s="222"/>
      <c r="N1" s="222"/>
      <c r="O1" s="223"/>
      <c r="P1" s="223"/>
      <c r="Q1" s="222"/>
      <c r="R1" s="222"/>
      <c r="S1" s="402" t="s">
        <v>2</v>
      </c>
      <c r="T1" s="416"/>
      <c r="U1" s="403"/>
      <c r="V1" s="415" t="s">
        <v>3</v>
      </c>
      <c r="W1" s="415"/>
      <c r="X1" s="160"/>
      <c r="Y1" s="160"/>
    </row>
    <row r="2" spans="2:25" ht="15" customHeight="1">
      <c r="B2" s="399" t="s">
        <v>4</v>
      </c>
      <c r="C2" s="399"/>
      <c r="D2" s="399"/>
      <c r="E2" s="399"/>
      <c r="F2" s="399"/>
      <c r="G2" s="399"/>
      <c r="H2" s="399"/>
      <c r="I2" s="399"/>
      <c r="J2" s="399"/>
      <c r="K2" s="399"/>
      <c r="L2" s="224"/>
      <c r="M2" s="224"/>
      <c r="N2" s="224"/>
      <c r="O2" s="224"/>
      <c r="P2" s="224"/>
      <c r="Q2" s="224"/>
      <c r="R2" s="224"/>
      <c r="S2" s="402"/>
      <c r="T2" s="416"/>
      <c r="U2" s="403"/>
      <c r="V2" s="276"/>
      <c r="W2" s="276"/>
      <c r="X2" s="160"/>
      <c r="Y2" s="160"/>
    </row>
    <row r="3" spans="2:25" ht="15" customHeight="1" thickBot="1">
      <c r="B3" s="399"/>
      <c r="C3" s="399"/>
      <c r="D3" s="399"/>
      <c r="E3" s="399"/>
      <c r="F3" s="399"/>
      <c r="G3" s="399"/>
      <c r="H3" s="399"/>
      <c r="I3" s="399"/>
      <c r="J3" s="399"/>
      <c r="K3" s="399"/>
      <c r="L3" s="224"/>
      <c r="M3" s="224"/>
      <c r="N3" s="224"/>
      <c r="O3" s="224"/>
      <c r="P3" s="224"/>
      <c r="Q3" s="224"/>
      <c r="R3" s="224"/>
      <c r="S3" s="402"/>
      <c r="T3" s="416"/>
      <c r="U3" s="417"/>
      <c r="V3" s="276"/>
      <c r="W3" s="276"/>
      <c r="X3" s="160"/>
      <c r="Y3" s="160"/>
    </row>
    <row r="4" spans="2:25" ht="13" customHeight="1" thickBot="1">
      <c r="B4" s="399"/>
      <c r="C4" s="399"/>
      <c r="D4" s="399"/>
      <c r="E4" s="399"/>
      <c r="F4" s="399"/>
      <c r="G4" s="399"/>
      <c r="H4" s="399"/>
      <c r="I4" s="399"/>
      <c r="J4" s="399"/>
      <c r="K4" s="399"/>
      <c r="L4" s="224"/>
      <c r="M4" s="224"/>
      <c r="N4" s="224"/>
      <c r="O4" s="224"/>
      <c r="P4" s="224"/>
      <c r="Q4" s="224"/>
      <c r="R4" s="224"/>
      <c r="S4" s="402" t="s">
        <v>5</v>
      </c>
      <c r="T4" s="403"/>
      <c r="U4" s="422"/>
      <c r="V4" s="422"/>
      <c r="W4" s="422"/>
      <c r="X4" s="160"/>
      <c r="Y4" s="160"/>
    </row>
    <row r="5" spans="2:25" ht="13" customHeight="1" thickBot="1">
      <c r="B5" s="224"/>
      <c r="C5" s="224"/>
      <c r="D5" s="224"/>
      <c r="E5" s="224"/>
      <c r="F5" s="224"/>
      <c r="G5" s="224"/>
      <c r="H5" s="224"/>
      <c r="I5" s="224"/>
      <c r="J5" s="224"/>
      <c r="K5" s="386" t="s">
        <v>6</v>
      </c>
      <c r="L5" s="374"/>
      <c r="M5" s="374"/>
      <c r="N5" s="469" t="s">
        <v>7</v>
      </c>
      <c r="O5" s="469"/>
      <c r="P5" s="469"/>
      <c r="Q5" s="469" t="s">
        <v>8</v>
      </c>
      <c r="R5" s="470"/>
      <c r="S5" s="425" t="s">
        <v>9</v>
      </c>
      <c r="T5" s="426"/>
      <c r="U5" s="387" t="s">
        <v>10</v>
      </c>
      <c r="V5" s="387" t="s">
        <v>11</v>
      </c>
      <c r="W5" s="388" t="s">
        <v>12</v>
      </c>
      <c r="X5" s="160"/>
      <c r="Y5" s="160"/>
    </row>
    <row r="6" spans="2:25" ht="13" customHeight="1">
      <c r="B6" s="224"/>
      <c r="C6" s="224"/>
      <c r="D6" s="224"/>
      <c r="E6" s="224"/>
      <c r="F6" s="224"/>
      <c r="G6" s="224"/>
      <c r="H6" s="224"/>
      <c r="I6" s="224"/>
      <c r="J6" s="224"/>
      <c r="K6" s="375" t="s">
        <v>13</v>
      </c>
      <c r="L6" s="376"/>
      <c r="M6" s="377">
        <f>LOOKUP($B$10,'Source info'!$E$3:$E$13,'Source info'!$M$3:$M$13)</f>
        <v>472</v>
      </c>
      <c r="N6" s="378"/>
      <c r="O6" s="379">
        <f>(B25)</f>
        <v>500</v>
      </c>
      <c r="P6" s="379" t="s">
        <v>14</v>
      </c>
      <c r="Q6" s="380">
        <f>B13</f>
        <v>1400</v>
      </c>
      <c r="R6" s="381" t="s">
        <v>14</v>
      </c>
      <c r="S6" s="382"/>
      <c r="T6" s="383" t="s">
        <v>14</v>
      </c>
      <c r="U6" s="384">
        <f>S6/O6</f>
        <v>0</v>
      </c>
      <c r="V6" s="385">
        <f>Q6/O6</f>
        <v>2.8</v>
      </c>
      <c r="W6" s="385">
        <f>U6+V6</f>
        <v>2.8</v>
      </c>
      <c r="X6" s="241"/>
      <c r="Y6" s="160"/>
    </row>
    <row r="7" spans="2:25" ht="13" customHeight="1">
      <c r="B7" s="224"/>
      <c r="C7" s="224"/>
      <c r="D7" s="224"/>
      <c r="E7" s="224"/>
      <c r="F7" s="224"/>
      <c r="G7" s="224"/>
      <c r="H7" s="224"/>
      <c r="I7" s="224"/>
      <c r="J7" s="224"/>
      <c r="K7" s="363"/>
      <c r="L7" s="364"/>
      <c r="M7" s="389"/>
      <c r="N7" s="390"/>
      <c r="O7" s="391"/>
      <c r="P7" s="391"/>
      <c r="Q7" s="392"/>
      <c r="R7" s="393"/>
      <c r="S7" s="369"/>
      <c r="T7" s="370"/>
      <c r="U7" s="394"/>
      <c r="V7" s="395"/>
      <c r="W7" s="395"/>
      <c r="X7" s="241"/>
      <c r="Y7" s="160"/>
    </row>
    <row r="8" spans="2:25" ht="13" customHeight="1" thickBot="1">
      <c r="B8" s="224"/>
      <c r="C8" s="224"/>
      <c r="D8" s="224"/>
      <c r="E8" s="224"/>
      <c r="F8" s="224"/>
      <c r="G8" s="224"/>
      <c r="H8" s="224"/>
      <c r="I8" s="224"/>
      <c r="J8" s="224"/>
      <c r="K8" s="363"/>
      <c r="L8" s="364"/>
      <c r="N8" s="365"/>
      <c r="O8" s="366"/>
      <c r="P8" s="366"/>
      <c r="Q8" s="367"/>
      <c r="R8" s="368"/>
      <c r="S8" s="369"/>
      <c r="T8" s="370"/>
      <c r="U8" s="371"/>
      <c r="V8" s="362" t="s">
        <v>15</v>
      </c>
      <c r="W8" s="362"/>
      <c r="X8" s="362"/>
      <c r="Y8" s="160"/>
    </row>
    <row r="9" spans="2:25" ht="15" customHeight="1" thickBot="1">
      <c r="B9" s="405" t="s">
        <v>16</v>
      </c>
      <c r="C9" s="405"/>
      <c r="D9" s="405"/>
      <c r="E9" s="405"/>
      <c r="F9" s="405"/>
      <c r="G9" s="405"/>
      <c r="H9" s="405"/>
      <c r="I9" s="405"/>
      <c r="K9" s="242" t="s">
        <v>17</v>
      </c>
      <c r="L9" s="242"/>
      <c r="M9" s="243" t="s">
        <v>18</v>
      </c>
      <c r="N9" s="410" t="str">
        <f>B16&amp;" DRI"</f>
        <v>4-8 yr, Male DRI</v>
      </c>
      <c r="O9" s="410"/>
      <c r="P9" s="410"/>
      <c r="Q9" s="409" t="s">
        <v>19</v>
      </c>
      <c r="R9" s="409"/>
      <c r="S9" s="425" t="s">
        <v>9</v>
      </c>
      <c r="T9" s="426"/>
      <c r="U9" s="261" t="s">
        <v>10</v>
      </c>
      <c r="V9" s="261" t="s">
        <v>11</v>
      </c>
      <c r="W9" s="262" t="s">
        <v>12</v>
      </c>
      <c r="X9" s="160"/>
      <c r="Y9" s="160"/>
    </row>
    <row r="10" spans="2:25" ht="15" customHeight="1">
      <c r="B10" s="438" t="s">
        <v>111</v>
      </c>
      <c r="C10" s="438"/>
      <c r="D10" s="438"/>
      <c r="E10" s="438"/>
      <c r="F10" s="438"/>
      <c r="G10" s="438"/>
      <c r="H10" s="438"/>
      <c r="I10" s="438"/>
      <c r="K10" s="429" t="s">
        <v>21</v>
      </c>
      <c r="L10" s="475" t="s">
        <v>22</v>
      </c>
      <c r="N10" s="450" t="str">
        <f>VLOOKUP($K$10,'Source info'!$CE$18:$EE$29,(MATCH($B$16,'Source info'!$CF$17:$EE$17,0 )+2))</f>
        <v>RDA</v>
      </c>
      <c r="O10" s="451">
        <f>VLOOKUP($K$10,'Source info'!$CE$18:$EE$29,(MATCH($B$16,'Source info'!$CF$17:$EE$17,0 )+1))</f>
        <v>19</v>
      </c>
      <c r="P10" s="450" t="s">
        <v>23</v>
      </c>
      <c r="Q10" s="452">
        <f>$Q$6*$M$11/$M$6</f>
        <v>43.898305084745765</v>
      </c>
      <c r="R10" s="452" t="s">
        <v>24</v>
      </c>
      <c r="S10" s="465"/>
      <c r="T10" s="467" t="s">
        <v>23</v>
      </c>
      <c r="U10" s="472">
        <f>S10/O10</f>
        <v>0</v>
      </c>
      <c r="V10" s="473">
        <f>Q10/O10</f>
        <v>2.3104371097234613</v>
      </c>
      <c r="W10" s="474">
        <f>U10+V10</f>
        <v>2.3104371097234613</v>
      </c>
      <c r="X10" s="463" t="s">
        <v>22</v>
      </c>
      <c r="Y10" s="160"/>
    </row>
    <row r="11" spans="2:25" ht="6.65" customHeight="1">
      <c r="J11" s="135"/>
      <c r="K11" s="429"/>
      <c r="L11" s="475"/>
      <c r="M11" s="145">
        <f>LOOKUP($B$10,'Source info'!$E$3:$E$13,'Source info'!N$3:N$13)</f>
        <v>14.8</v>
      </c>
      <c r="N11" s="450"/>
      <c r="O11" s="451"/>
      <c r="P11" s="450"/>
      <c r="Q11" s="452"/>
      <c r="R11" s="452"/>
      <c r="S11" s="466"/>
      <c r="T11" s="468"/>
      <c r="U11" s="472"/>
      <c r="V11" s="473"/>
      <c r="W11" s="474"/>
      <c r="X11" s="463"/>
      <c r="Y11" s="160"/>
    </row>
    <row r="12" spans="2:25" ht="15" customHeight="1">
      <c r="B12" s="439" t="s">
        <v>25</v>
      </c>
      <c r="C12" s="439"/>
      <c r="D12" s="439"/>
      <c r="E12" s="439"/>
      <c r="F12" s="439"/>
      <c r="G12" s="439"/>
      <c r="H12" s="439"/>
      <c r="I12" s="439"/>
      <c r="K12" s="293" t="s">
        <v>26</v>
      </c>
      <c r="L12" s="295" t="s">
        <v>27</v>
      </c>
      <c r="M12" s="145">
        <f>LOOKUP($B$10,'Source info'!$E$3:$E$13,'Source info'!$V$3:$V$13)</f>
        <v>51.4</v>
      </c>
      <c r="N12" s="254" t="str">
        <f>VLOOKUP($K$12,'Source info'!$CE$18:$EE$29,(MATCH($B$16,'Source info'!$CF$17:$EE$17,0 )+2))</f>
        <v>RDA</v>
      </c>
      <c r="O12" s="258">
        <f>VLOOKUP($K$12,'Source info'!$CE$18:$EE$29,(MATCH($B$16,'Source info'!$CF$17:$EE$17,0 )+1))</f>
        <v>130</v>
      </c>
      <c r="P12" s="258" t="s">
        <v>23</v>
      </c>
      <c r="Q12" s="300">
        <f>$Q$6*$M$12/$M$6</f>
        <v>152.45762711864407</v>
      </c>
      <c r="R12" s="299" t="s">
        <v>23</v>
      </c>
      <c r="S12" s="285"/>
      <c r="T12" s="290" t="s">
        <v>23</v>
      </c>
      <c r="U12" s="303">
        <f t="shared" ref="U12:U22" si="0">S12/O12</f>
        <v>0</v>
      </c>
      <c r="V12" s="253">
        <f>Q12/O12</f>
        <v>1.1727509778357237</v>
      </c>
      <c r="W12" s="305">
        <f t="shared" ref="W12:W16" si="1">U12+V12</f>
        <v>1.1727509778357237</v>
      </c>
      <c r="X12" s="172"/>
      <c r="Y12" s="160"/>
    </row>
    <row r="13" spans="2:25" ht="15" customHeight="1">
      <c r="B13" s="443">
        <v>1400</v>
      </c>
      <c r="C13" s="443"/>
      <c r="D13" s="443"/>
      <c r="E13" s="443"/>
      <c r="F13" s="440" t="s">
        <v>28</v>
      </c>
      <c r="G13" s="440"/>
      <c r="H13" s="441">
        <f>B13*4.194</f>
        <v>5871.6</v>
      </c>
      <c r="I13" s="441"/>
      <c r="K13" s="250" t="s">
        <v>29</v>
      </c>
      <c r="L13" s="251" t="s">
        <v>30</v>
      </c>
      <c r="M13" s="145">
        <f>LOOKUP($B$10,'Source info'!$E$3:$E$13,'Source info'!$W$3:$W$13)</f>
        <v>1.9</v>
      </c>
      <c r="N13" s="269" t="str">
        <f>VLOOKUP($K$13,'Source info'!$CE$18:$EE$29,(MATCH($B$16,'Source info'!$CF$17:$EE$17,0 )+2))</f>
        <v>AI</v>
      </c>
      <c r="O13" s="270">
        <f>VLOOKUP($K$13,'Source info'!$CE$18:$EE$29,(MATCH($B$16,'Source info'!$CF$17:$EE$17,0)+1))</f>
        <v>25</v>
      </c>
      <c r="P13" s="268" t="s">
        <v>23</v>
      </c>
      <c r="Q13" s="244">
        <f>$Q$6*$M$13/$M$6</f>
        <v>5.6355932203389827</v>
      </c>
      <c r="R13" s="245" t="s">
        <v>23</v>
      </c>
      <c r="S13" s="282"/>
      <c r="T13" s="286" t="s">
        <v>23</v>
      </c>
      <c r="U13" s="252" t="str">
        <f>IF($S$13=0,"0%",S13/O13)</f>
        <v>0%</v>
      </c>
      <c r="V13" s="271">
        <f>IFERROR(Q13/O13,"-")</f>
        <v>0.22542372881355932</v>
      </c>
      <c r="W13" s="247">
        <f>IFERROR(U13+V13,"-")</f>
        <v>0.22542372881355932</v>
      </c>
      <c r="X13" s="241" t="s">
        <v>30</v>
      </c>
      <c r="Y13" s="235"/>
    </row>
    <row r="14" spans="2:25" ht="15" customHeight="1">
      <c r="K14" s="293" t="s">
        <v>31</v>
      </c>
      <c r="L14" s="294" t="s">
        <v>32</v>
      </c>
      <c r="M14" s="145">
        <f>LOOKUP($B$10,'Source info'!$E$3:$E$13,'Source info'!O$3:O$13)</f>
        <v>23</v>
      </c>
      <c r="N14" s="254" t="str">
        <f>VLOOKUP($K$14,'Source info'!$CE$18:$EE$29,(MATCH($B$16,'Source info'!$CF$17:$EE$17,0 )+2))</f>
        <v xml:space="preserve">-     </v>
      </c>
      <c r="O14" s="259" t="str">
        <f>VLOOKUP($K$14,'Source info'!$CE$18:$EE$29,(MATCH($B$16,'Source info'!$CF$17:$EE$17,0 )+1))</f>
        <v xml:space="preserve">-     </v>
      </c>
      <c r="P14" s="258" t="str">
        <f>IF(O14="-     "," ","g")</f>
        <v xml:space="preserve"> </v>
      </c>
      <c r="Q14" s="300">
        <f>$Q$6*$M$14/$M$6</f>
        <v>68.220338983050851</v>
      </c>
      <c r="R14" s="301" t="s">
        <v>23</v>
      </c>
      <c r="S14" s="285"/>
      <c r="T14" s="290" t="s">
        <v>23</v>
      </c>
      <c r="U14" s="303" t="str">
        <f>IFERROR(S14/O14,"-")</f>
        <v>-</v>
      </c>
      <c r="V14" s="253" t="str">
        <f>IFERROR(Q14/O14,"-")</f>
        <v>-</v>
      </c>
      <c r="W14" s="305" t="str">
        <f>IFERROR(U14+V14,"-")</f>
        <v>-</v>
      </c>
      <c r="X14" s="241" t="s">
        <v>32</v>
      </c>
      <c r="Y14" s="160"/>
    </row>
    <row r="15" spans="2:25" ht="15" customHeight="1">
      <c r="B15" s="405" t="s">
        <v>33</v>
      </c>
      <c r="C15" s="405"/>
      <c r="D15" s="405"/>
      <c r="E15" s="405"/>
      <c r="F15" s="405"/>
      <c r="G15" s="405"/>
      <c r="H15" s="405"/>
      <c r="I15" s="405"/>
      <c r="K15" s="249" t="s">
        <v>34</v>
      </c>
      <c r="L15" s="346" t="s">
        <v>35</v>
      </c>
      <c r="M15" s="145">
        <f>LOOKUP($B$10,'Source info'!$E$3:$E$13,'Source info'!$R$3:$R$13)</f>
        <v>3.75</v>
      </c>
      <c r="N15" s="269" t="str">
        <f>VLOOKUP($K$15,'Source info'!$CE$18:$EE$29,(MATCH($B$16,'Source info'!$CF$17:$EE$17,0 )+2))</f>
        <v>AI</v>
      </c>
      <c r="O15" s="268">
        <f>VLOOKUP($K$15,'Source info'!$CE$18:$EE$29,(MATCH($B$16,'Source info'!$CF$17:$EE$17,0 )+1))</f>
        <v>10</v>
      </c>
      <c r="P15" s="268" t="s">
        <v>23</v>
      </c>
      <c r="Q15" s="244">
        <f>$Q$6*$M$15/$M$6</f>
        <v>11.122881355932204</v>
      </c>
      <c r="R15" s="245" t="s">
        <v>23</v>
      </c>
      <c r="S15" s="283"/>
      <c r="T15" s="287" t="s">
        <v>23</v>
      </c>
      <c r="U15" s="252">
        <f t="shared" si="0"/>
        <v>0</v>
      </c>
      <c r="V15" s="271">
        <f>Q15/O15</f>
        <v>1.1122881355932204</v>
      </c>
      <c r="W15" s="247">
        <f t="shared" si="1"/>
        <v>1.1122881355932204</v>
      </c>
      <c r="X15" s="348" t="s">
        <v>35</v>
      </c>
      <c r="Y15" s="160"/>
    </row>
    <row r="16" spans="2:25" ht="15" customHeight="1">
      <c r="B16" s="447" t="s">
        <v>235</v>
      </c>
      <c r="C16" s="447"/>
      <c r="D16" s="447"/>
      <c r="E16" s="447"/>
      <c r="F16" s="447"/>
      <c r="G16" s="447"/>
      <c r="H16" s="447"/>
      <c r="I16" s="447"/>
      <c r="K16" s="296" t="s">
        <v>37</v>
      </c>
      <c r="L16" s="347" t="s">
        <v>35</v>
      </c>
      <c r="M16" s="145">
        <f>LOOKUP($B$10,'Source info'!$E$3:$E$13,'Source info'!$S$3:$S$13)</f>
        <v>0.375</v>
      </c>
      <c r="N16" s="254" t="str">
        <f>VLOOKUP($K$16,'Source info'!$CE$18:$EE$29,(MATCH($B$16,'Source info'!$CF$17:$EE$17,0 )+2))</f>
        <v>AI</v>
      </c>
      <c r="O16" s="258">
        <f>VLOOKUP($K$16,'Source info'!$CE$18:$EE$29,(MATCH($B$16,'Source info'!$CF$17:$EE$17,0 )+1))</f>
        <v>0.9</v>
      </c>
      <c r="P16" s="258" t="s">
        <v>23</v>
      </c>
      <c r="Q16" s="302">
        <f>$Q$6*$M$16/$M$6</f>
        <v>1.1122881355932204</v>
      </c>
      <c r="R16" s="299" t="s">
        <v>23</v>
      </c>
      <c r="S16" s="288"/>
      <c r="T16" s="291" t="s">
        <v>23</v>
      </c>
      <c r="U16" s="303">
        <f t="shared" si="0"/>
        <v>0</v>
      </c>
      <c r="V16" s="253">
        <f>Q16/O16</f>
        <v>1.2358757062146892</v>
      </c>
      <c r="W16" s="305">
        <f t="shared" si="1"/>
        <v>1.2358757062146892</v>
      </c>
      <c r="X16" s="348" t="s">
        <v>35</v>
      </c>
      <c r="Y16" s="160"/>
    </row>
    <row r="17" spans="2:26" ht="15" customHeight="1">
      <c r="B17" s="404"/>
      <c r="C17" s="404"/>
      <c r="D17" s="404"/>
      <c r="E17" s="404"/>
      <c r="F17" s="404"/>
      <c r="G17" s="404"/>
      <c r="H17" s="404"/>
      <c r="I17" s="404"/>
      <c r="K17" s="249" t="s">
        <v>38</v>
      </c>
      <c r="L17" s="249"/>
      <c r="M17" s="145">
        <f>LOOKUP($B$10,'Source info'!$E$3:$E$13,'Source info'!$P$3:$P$13)</f>
        <v>0.65</v>
      </c>
      <c r="N17" s="411" t="s">
        <v>39</v>
      </c>
      <c r="O17" s="411"/>
      <c r="P17" s="411"/>
      <c r="Q17" s="244">
        <f>$Q$14*$M$17</f>
        <v>44.343220338983052</v>
      </c>
      <c r="R17" s="246" t="s">
        <v>23</v>
      </c>
      <c r="S17" s="407" t="s">
        <v>39</v>
      </c>
      <c r="T17" s="407"/>
      <c r="U17" s="277" t="s">
        <v>39</v>
      </c>
      <c r="V17" s="275" t="s">
        <v>39</v>
      </c>
      <c r="W17" s="263" t="s">
        <v>39</v>
      </c>
      <c r="X17" s="160"/>
      <c r="Y17" s="160"/>
    </row>
    <row r="18" spans="2:26" ht="15" customHeight="1">
      <c r="B18" s="405" t="s">
        <v>40</v>
      </c>
      <c r="C18" s="405"/>
      <c r="D18" s="405"/>
      <c r="E18" s="405"/>
      <c r="F18" s="405"/>
      <c r="G18" s="405"/>
      <c r="H18" s="405"/>
      <c r="I18" s="405"/>
      <c r="K18" s="296" t="s">
        <v>41</v>
      </c>
      <c r="L18" s="296"/>
      <c r="M18" s="145">
        <f>LOOKUP($B$10,'Source info'!$E$3:$E$13,'Source info'!$Q$3:$Q$13)</f>
        <v>0.35</v>
      </c>
      <c r="N18" s="413" t="s">
        <v>39</v>
      </c>
      <c r="O18" s="413"/>
      <c r="P18" s="413"/>
      <c r="Q18" s="300">
        <f>$Q$14*$M$18</f>
        <v>23.877118644067796</v>
      </c>
      <c r="R18" s="301" t="s">
        <v>23</v>
      </c>
      <c r="S18" s="408" t="s">
        <v>39</v>
      </c>
      <c r="T18" s="408"/>
      <c r="U18" s="304" t="s">
        <v>39</v>
      </c>
      <c r="V18" s="264" t="s">
        <v>39</v>
      </c>
      <c r="W18" s="307" t="s">
        <v>39</v>
      </c>
      <c r="X18" s="160"/>
      <c r="Y18" s="160"/>
    </row>
    <row r="19" spans="2:26" ht="15" customHeight="1">
      <c r="B19" s="405" t="s">
        <v>42</v>
      </c>
      <c r="C19" s="405"/>
      <c r="D19" s="405"/>
      <c r="E19" s="405"/>
      <c r="F19" s="148">
        <v>15</v>
      </c>
      <c r="G19" s="200" t="s">
        <v>43</v>
      </c>
      <c r="H19" s="442">
        <f>F19*2.204623</f>
        <v>33.069345000000006</v>
      </c>
      <c r="I19" s="442"/>
      <c r="K19" s="249" t="s">
        <v>44</v>
      </c>
      <c r="L19" s="249"/>
      <c r="M19" s="145">
        <f>LOOKUP($B$10,'Source info'!$E$3:$E$13,'Source info'!$T$3:$T$13)</f>
        <v>0</v>
      </c>
      <c r="N19" s="411" t="s">
        <v>39</v>
      </c>
      <c r="O19" s="411"/>
      <c r="P19" s="411"/>
      <c r="Q19" s="244">
        <f>$Q$6*$M$19/$M$6</f>
        <v>0</v>
      </c>
      <c r="R19" s="245" t="s">
        <v>45</v>
      </c>
      <c r="S19" s="407" t="s">
        <v>39</v>
      </c>
      <c r="T19" s="407"/>
      <c r="U19" s="277" t="s">
        <v>39</v>
      </c>
      <c r="V19" s="272" t="s">
        <v>39</v>
      </c>
      <c r="W19" s="265" t="s">
        <v>39</v>
      </c>
      <c r="X19" s="135"/>
      <c r="Y19" s="160"/>
    </row>
    <row r="20" spans="2:26" ht="15" customHeight="1">
      <c r="B20" s="406" t="str">
        <f>$B$13&amp;" kcal of "&amp;$B$10&amp;" provides these amounts per kg:"</f>
        <v>1400 kcal of Neocate® Junior, Vanilla or Strawberry provides these amounts per kg:</v>
      </c>
      <c r="C20" s="406"/>
      <c r="D20" s="406"/>
      <c r="E20" s="406"/>
      <c r="F20" s="420">
        <f>$Q$6/$F$19</f>
        <v>93.333333333333329</v>
      </c>
      <c r="G20" s="420"/>
      <c r="H20" s="420"/>
      <c r="I20" s="420"/>
      <c r="K20" s="296" t="s">
        <v>46</v>
      </c>
      <c r="L20" s="296"/>
      <c r="M20" s="145">
        <f>LOOKUP($B$10,'Source info'!$E$3:$E$13,'Source info'!$U$3:$U$13)</f>
        <v>0</v>
      </c>
      <c r="N20" s="413" t="s">
        <v>39</v>
      </c>
      <c r="O20" s="413"/>
      <c r="P20" s="413"/>
      <c r="Q20" s="300">
        <f>$Q$6*$M$20/$M$6</f>
        <v>0</v>
      </c>
      <c r="R20" s="299" t="s">
        <v>45</v>
      </c>
      <c r="S20" s="408" t="s">
        <v>39</v>
      </c>
      <c r="T20" s="408"/>
      <c r="U20" s="304" t="s">
        <v>39</v>
      </c>
      <c r="V20" s="266" t="s">
        <v>39</v>
      </c>
      <c r="W20" s="306" t="s">
        <v>39</v>
      </c>
      <c r="X20" s="135"/>
      <c r="Y20" s="160"/>
    </row>
    <row r="21" spans="2:26" ht="15" customHeight="1">
      <c r="B21" s="406"/>
      <c r="C21" s="406"/>
      <c r="D21" s="406"/>
      <c r="E21" s="406"/>
      <c r="F21" s="419">
        <f>$Q$10/$F$19</f>
        <v>2.9265536723163845</v>
      </c>
      <c r="G21" s="419"/>
      <c r="H21" s="419"/>
      <c r="I21" s="419"/>
      <c r="J21" s="344" t="s">
        <v>47</v>
      </c>
      <c r="K21" s="248" t="s">
        <v>48</v>
      </c>
      <c r="L21" s="248"/>
      <c r="M21" s="145">
        <f>LOOKUP($B$10,'Source info'!$E$3:$E$13,'Source info'!$X$3:$X$13)</f>
        <v>0</v>
      </c>
      <c r="N21" s="411" t="s">
        <v>39</v>
      </c>
      <c r="O21" s="411"/>
      <c r="P21" s="411"/>
      <c r="Q21" s="244">
        <f>$Q$6*$M$21/$M$6</f>
        <v>0</v>
      </c>
      <c r="R21" s="245" t="s">
        <v>23</v>
      </c>
      <c r="S21" s="407" t="s">
        <v>39</v>
      </c>
      <c r="T21" s="407"/>
      <c r="U21" s="278" t="s">
        <v>39</v>
      </c>
      <c r="V21" s="273" t="s">
        <v>39</v>
      </c>
      <c r="W21" s="267" t="s">
        <v>39</v>
      </c>
      <c r="X21" s="135"/>
      <c r="Y21" s="160"/>
    </row>
    <row r="22" spans="2:26" ht="15" customHeight="1">
      <c r="B22" s="406"/>
      <c r="C22" s="406"/>
      <c r="D22" s="406"/>
      <c r="E22" s="406"/>
      <c r="F22" s="421">
        <f>$Q$22/$F$19</f>
        <v>78.700533333333325</v>
      </c>
      <c r="G22" s="421"/>
      <c r="H22" s="421"/>
      <c r="I22" s="421"/>
      <c r="K22" s="297" t="s">
        <v>49</v>
      </c>
      <c r="L22" s="297"/>
      <c r="M22" s="145">
        <f>LOOKUP($B$10,'Source info'!$E$3:$E$13,'Source info'!$Y$3:$Y$13)</f>
        <v>397.99984000000001</v>
      </c>
      <c r="N22" s="256" t="str">
        <f>VLOOKUP($K$22,'Source info'!$CE$18:$EE$29,(MATCH($B$16,'Source info'!$CF$17:$EE$17,0 )+2))</f>
        <v>AI</v>
      </c>
      <c r="O22" s="255">
        <f>VLOOKUP($K$22,'Source info'!$CE$18:$EE$29,(MATCH($B$16,'Source info'!$CF$17:$EE$17,0)+1))</f>
        <v>1700</v>
      </c>
      <c r="P22" s="257" t="s">
        <v>50</v>
      </c>
      <c r="Q22" s="298">
        <f>$Q$6*$M$22/$M$6</f>
        <v>1180.5079999999998</v>
      </c>
      <c r="R22" s="299" t="s">
        <v>50</v>
      </c>
      <c r="S22" s="289"/>
      <c r="T22" s="292" t="s">
        <v>50</v>
      </c>
      <c r="U22" s="303">
        <f t="shared" si="0"/>
        <v>0</v>
      </c>
      <c r="V22" s="253">
        <f>Q22/O22</f>
        <v>0.69441647058823519</v>
      </c>
      <c r="W22" s="305">
        <f t="shared" ref="W22" si="2">U22+V22</f>
        <v>0.69441647058823519</v>
      </c>
      <c r="X22" s="135"/>
      <c r="Y22" s="160"/>
    </row>
    <row r="23" spans="2:26" ht="15" customHeight="1">
      <c r="B23" s="360"/>
      <c r="C23" s="360"/>
      <c r="D23" s="360"/>
      <c r="E23" s="360"/>
      <c r="F23" s="361"/>
      <c r="G23" s="361"/>
      <c r="H23" s="361"/>
      <c r="I23" s="361"/>
      <c r="K23" s="297"/>
      <c r="L23" s="297"/>
      <c r="M23" s="145"/>
      <c r="N23" s="256"/>
      <c r="O23" s="255"/>
      <c r="P23" s="257"/>
      <c r="Q23" s="298"/>
      <c r="R23" s="299"/>
      <c r="S23" s="289"/>
      <c r="T23" s="292"/>
      <c r="U23" s="303"/>
      <c r="V23" s="253"/>
      <c r="W23" s="305"/>
      <c r="X23" s="135"/>
      <c r="Y23" s="160"/>
    </row>
    <row r="24" spans="2:26" ht="15" customHeight="1">
      <c r="B24" s="449" t="s">
        <v>51</v>
      </c>
      <c r="C24" s="449"/>
      <c r="D24" s="449"/>
      <c r="E24" s="449"/>
      <c r="F24" s="449"/>
      <c r="G24" s="449"/>
      <c r="H24" s="449"/>
      <c r="I24" s="449"/>
      <c r="K24" s="297"/>
      <c r="L24" s="297"/>
      <c r="M24" s="145"/>
      <c r="N24" s="256"/>
      <c r="O24" s="255"/>
      <c r="P24" s="257"/>
      <c r="Q24" s="298"/>
      <c r="R24" s="299"/>
      <c r="S24" s="289"/>
      <c r="T24" s="292"/>
      <c r="U24" s="303"/>
      <c r="V24" s="253"/>
      <c r="W24" s="305"/>
      <c r="X24" s="135"/>
      <c r="Y24" s="160"/>
    </row>
    <row r="25" spans="2:26" ht="15" customHeight="1">
      <c r="B25" s="443">
        <v>500</v>
      </c>
      <c r="C25" s="443"/>
      <c r="D25" s="443"/>
      <c r="E25" s="443"/>
      <c r="F25" s="440" t="s">
        <v>28</v>
      </c>
      <c r="G25" s="440"/>
      <c r="H25" s="441">
        <f>B25*4.194</f>
        <v>2097</v>
      </c>
      <c r="I25" s="441"/>
      <c r="K25" s="297"/>
      <c r="L25" s="297"/>
      <c r="M25" s="145"/>
      <c r="N25" s="256"/>
      <c r="O25" s="255"/>
      <c r="P25" s="257"/>
      <c r="Q25" s="298"/>
      <c r="R25" s="299"/>
      <c r="S25" s="289"/>
      <c r="T25" s="292"/>
      <c r="U25" s="303"/>
      <c r="V25" s="253"/>
      <c r="W25" s="305"/>
      <c r="X25" s="135"/>
      <c r="Y25" s="160"/>
    </row>
    <row r="26" spans="2:26" ht="15" customHeight="1">
      <c r="B26" s="471" t="s">
        <v>52</v>
      </c>
      <c r="C26" s="471"/>
      <c r="D26" s="471"/>
      <c r="E26" s="471"/>
      <c r="F26" s="471"/>
      <c r="G26" s="471"/>
      <c r="H26" s="471"/>
      <c r="I26" s="471"/>
      <c r="K26" s="297"/>
      <c r="L26" s="297"/>
      <c r="M26" s="145"/>
      <c r="N26" s="256"/>
      <c r="O26" s="255"/>
      <c r="P26" s="257"/>
      <c r="Q26" s="298"/>
      <c r="R26" s="299"/>
      <c r="S26" s="289"/>
      <c r="T26" s="292"/>
      <c r="U26" s="303"/>
      <c r="V26" s="253"/>
      <c r="W26" s="305"/>
      <c r="X26" s="135"/>
      <c r="Y26" s="160"/>
    </row>
    <row r="27" spans="2:26" ht="15" customHeight="1">
      <c r="B27" s="430" t="str">
        <f>LOOKUP(B10,'Source info'!E3:E13,'Source info'!H3:H13)</f>
        <v xml:space="preserve">A nutritionally complete, powdered amino acid-based formula with prebiotic fibers for individuals over the age of 1. </v>
      </c>
      <c r="C27" s="430"/>
      <c r="D27" s="430"/>
      <c r="E27" s="430"/>
      <c r="F27" s="430"/>
      <c r="G27" s="430"/>
      <c r="H27" s="430"/>
      <c r="I27" s="168"/>
      <c r="K27" s="161" t="s">
        <v>53</v>
      </c>
      <c r="L27" s="161"/>
      <c r="M27" s="201"/>
      <c r="N27" s="155"/>
      <c r="O27" s="156"/>
      <c r="P27" s="157"/>
      <c r="Q27" s="150"/>
      <c r="R27" s="150"/>
      <c r="U27" s="155"/>
      <c r="V27" s="155"/>
      <c r="W27" s="234"/>
      <c r="X27" s="135"/>
      <c r="Y27" s="160"/>
    </row>
    <row r="28" spans="2:26" ht="20.149999999999999" customHeight="1" thickBot="1">
      <c r="B28" s="430"/>
      <c r="C28" s="430"/>
      <c r="D28" s="430"/>
      <c r="E28" s="430"/>
      <c r="F28" s="430"/>
      <c r="G28" s="430"/>
      <c r="H28" s="430"/>
      <c r="I28" s="168"/>
      <c r="K28" s="142"/>
      <c r="L28" s="142"/>
      <c r="M28" s="142"/>
      <c r="N28" s="142"/>
      <c r="O28" s="142"/>
      <c r="P28" s="142"/>
      <c r="Q28" s="142"/>
      <c r="R28" s="142"/>
      <c r="U28" s="423" t="s">
        <v>15</v>
      </c>
      <c r="V28" s="423"/>
      <c r="W28" s="423"/>
      <c r="X28" s="160"/>
      <c r="Y28" s="160"/>
    </row>
    <row r="29" spans="2:26" ht="15" customHeight="1">
      <c r="B29" s="430"/>
      <c r="C29" s="430"/>
      <c r="D29" s="430"/>
      <c r="E29" s="430"/>
      <c r="F29" s="430"/>
      <c r="G29" s="430"/>
      <c r="H29" s="430"/>
      <c r="I29" s="448"/>
      <c r="K29" s="233" t="s">
        <v>54</v>
      </c>
      <c r="L29" s="233"/>
      <c r="M29" s="274" t="s">
        <v>18</v>
      </c>
      <c r="N29" s="462" t="str">
        <f>B16&amp;" DRI"</f>
        <v>4-8 yr, Male DRI</v>
      </c>
      <c r="O29" s="462"/>
      <c r="P29" s="462"/>
      <c r="Q29" s="445" t="s">
        <v>19</v>
      </c>
      <c r="R29" s="445"/>
      <c r="S29" s="427" t="s">
        <v>9</v>
      </c>
      <c r="T29" s="427"/>
      <c r="U29" s="239" t="s">
        <v>10</v>
      </c>
      <c r="V29" s="239" t="s">
        <v>11</v>
      </c>
      <c r="W29" s="240" t="s">
        <v>12</v>
      </c>
      <c r="X29" s="160"/>
      <c r="Y29" s="160"/>
      <c r="Z29" s="27"/>
    </row>
    <row r="30" spans="2:26" ht="26.15" customHeight="1">
      <c r="B30" s="430"/>
      <c r="C30" s="430"/>
      <c r="D30" s="430"/>
      <c r="E30" s="430"/>
      <c r="F30" s="430"/>
      <c r="G30" s="430"/>
      <c r="H30" s="430"/>
      <c r="I30" s="448"/>
      <c r="K30" s="333" t="s">
        <v>55</v>
      </c>
      <c r="L30" s="333"/>
      <c r="M30" s="145">
        <f>LOOKUP($B$10,'Source info'!$E$3:$E$13,'Source info'!AA3:AA13)</f>
        <v>287</v>
      </c>
      <c r="N30" s="329" t="str">
        <f>VLOOKUP(K30,'Source info'!$EH$18:$HH$33,(MATCH($B$16,'Source info'!$EI$17:$HH$17,0 )+2))</f>
        <v>RDA</v>
      </c>
      <c r="O30" s="330">
        <f>VLOOKUP($K$30,'Source info'!$EH$18:$HH$33,(MATCH($B$16,'Source info'!$EI$17:$HH$17,0 )+1))</f>
        <v>400</v>
      </c>
      <c r="P30" s="322" t="s">
        <v>56</v>
      </c>
      <c r="Q30" s="334">
        <f>$Q$6*$M$30/$M$6</f>
        <v>851.27118644067798</v>
      </c>
      <c r="R30" s="335" t="s">
        <v>57</v>
      </c>
      <c r="S30" s="289"/>
      <c r="T30" s="292" t="s">
        <v>56</v>
      </c>
      <c r="U30" s="339">
        <f>S30/O30</f>
        <v>0</v>
      </c>
      <c r="V30" s="323">
        <f>Q30/O30</f>
        <v>2.1281779661016951</v>
      </c>
      <c r="W30" s="340">
        <f>U30+V30</f>
        <v>2.1281779661016951</v>
      </c>
      <c r="X30" s="160"/>
      <c r="Y30" s="160"/>
      <c r="Z30" s="396"/>
    </row>
    <row r="31" spans="2:26" ht="15" customHeight="1">
      <c r="B31" s="431" t="str">
        <f>LOOKUP(B10,'Source info'!E3:E13,'Source info'!I3:I13)</f>
        <v>Available in United States (formula upgraded 2018) and Canada (updated 2020). Refer to label for directions for preparation and storage and country-specific nutrition information.</v>
      </c>
      <c r="C31" s="431"/>
      <c r="D31" s="431"/>
      <c r="E31" s="431"/>
      <c r="F31" s="431"/>
      <c r="G31" s="431"/>
      <c r="H31" s="431"/>
      <c r="I31" s="448"/>
      <c r="K31" s="446" t="s">
        <v>58</v>
      </c>
      <c r="L31" s="349" t="s">
        <v>59</v>
      </c>
      <c r="M31" s="145">
        <f>LOOKUP($B$10,'Source info'!$E$3:$E$13,'Source info'!AB3:AB13)</f>
        <v>9.5</v>
      </c>
      <c r="N31" s="444" t="str">
        <f>VLOOKUP(K31,'Source info'!$EH$18:$HH$33,(MATCH($B$16,'Source info'!$EI$17:$HH$17,0 )+2))</f>
        <v>RDA</v>
      </c>
      <c r="O31" s="318">
        <f>VLOOKUP($L$31,'Source info'!$EH$18:$HH$33,(MATCH($B$16,'Source info'!$EI$17:$HH$17,0 )+1))</f>
        <v>600</v>
      </c>
      <c r="P31" s="319" t="s">
        <v>60</v>
      </c>
      <c r="Q31" s="326">
        <f>$Q$6*$M$32/$M$6</f>
        <v>1127.1186440677966</v>
      </c>
      <c r="R31" s="320" t="s">
        <v>60</v>
      </c>
      <c r="S31" s="284"/>
      <c r="T31" s="286" t="s">
        <v>60</v>
      </c>
      <c r="U31" s="457">
        <f>S31/O31</f>
        <v>0</v>
      </c>
      <c r="V31" s="424">
        <f>Q32/O32</f>
        <v>1.8785310734463279</v>
      </c>
      <c r="W31" s="456">
        <f t="shared" ref="W31:W44" si="3">U31+V31</f>
        <v>1.8785310734463279</v>
      </c>
      <c r="X31" s="160"/>
      <c r="Z31" s="27"/>
    </row>
    <row r="32" spans="2:26" ht="15" customHeight="1">
      <c r="B32" s="431"/>
      <c r="C32" s="431"/>
      <c r="D32" s="431"/>
      <c r="E32" s="431"/>
      <c r="F32" s="431"/>
      <c r="G32" s="431"/>
      <c r="H32" s="431"/>
      <c r="I32" s="448"/>
      <c r="K32" s="446"/>
      <c r="L32" s="324"/>
      <c r="M32" s="145">
        <f>LOOKUP($B$10,'Source info'!$E$3:$E$13,'Source info'!AC3:AC13)</f>
        <v>380</v>
      </c>
      <c r="N32" s="444"/>
      <c r="O32" s="318">
        <f>VLOOKUP($K$31,'Source info'!$EH$18:$HH$33,(MATCH($B$16,'Source info'!$EI$17:$HH$17,0 )+1))</f>
        <v>15</v>
      </c>
      <c r="P32" s="319" t="s">
        <v>56</v>
      </c>
      <c r="Q32" s="327">
        <f>$Q$6*$M$31/$M$6</f>
        <v>28.177966101694917</v>
      </c>
      <c r="R32" s="320" t="s">
        <v>56</v>
      </c>
      <c r="S32" s="289"/>
      <c r="T32" s="292" t="s">
        <v>56</v>
      </c>
      <c r="U32" s="457"/>
      <c r="V32" s="424"/>
      <c r="W32" s="456"/>
      <c r="X32" s="160"/>
      <c r="Y32" s="160"/>
      <c r="Z32" s="27"/>
    </row>
    <row r="33" spans="1:26" ht="15" customHeight="1">
      <c r="B33" s="431"/>
      <c r="C33" s="431"/>
      <c r="D33" s="431"/>
      <c r="E33" s="431"/>
      <c r="F33" s="431"/>
      <c r="G33" s="431"/>
      <c r="H33" s="431"/>
      <c r="I33" s="448"/>
      <c r="J33" s="135"/>
      <c r="K33" s="333" t="s">
        <v>61</v>
      </c>
      <c r="L33" s="333"/>
      <c r="M33" s="145">
        <f>LOOKUP($B$10,'Source info'!$E$3:$E$13,'Source info'!AD3:AD13)</f>
        <v>6.7</v>
      </c>
      <c r="N33" s="329" t="str">
        <f>VLOOKUP(K33,'Source info'!$EH$18:$HH$33,(MATCH($B$16,'Source info'!$EI$17:$HH$17,0 )+2))</f>
        <v>RDA</v>
      </c>
      <c r="O33" s="330">
        <f>VLOOKUP($K$33,'Source info'!$EH$18:$HH$33,(MATCH($B$16,'Source info'!$EI$17:$HH$17,0 )+1))</f>
        <v>7</v>
      </c>
      <c r="P33" s="331" t="s">
        <v>45</v>
      </c>
      <c r="Q33" s="336">
        <f>$Q$6*$M$33/$M$6</f>
        <v>19.872881355932204</v>
      </c>
      <c r="R33" s="337" t="s">
        <v>62</v>
      </c>
      <c r="S33" s="282"/>
      <c r="T33" s="286" t="s">
        <v>45</v>
      </c>
      <c r="U33" s="339">
        <f>S33/O33</f>
        <v>0</v>
      </c>
      <c r="V33" s="323">
        <f>Q33/O33</f>
        <v>2.8389830508474576</v>
      </c>
      <c r="W33" s="340">
        <f t="shared" si="3"/>
        <v>2.8389830508474576</v>
      </c>
      <c r="X33" s="230"/>
      <c r="Y33" s="160"/>
      <c r="Z33" s="397"/>
    </row>
    <row r="34" spans="1:26" ht="15" customHeight="1">
      <c r="B34" s="431"/>
      <c r="C34" s="431"/>
      <c r="D34" s="431"/>
      <c r="E34" s="431"/>
      <c r="F34" s="431"/>
      <c r="G34" s="431"/>
      <c r="H34" s="431"/>
      <c r="I34" s="448"/>
      <c r="J34" s="135"/>
      <c r="K34" s="324" t="s">
        <v>63</v>
      </c>
      <c r="L34" s="324"/>
      <c r="M34" s="145">
        <f>LOOKUP($B$10,'Source info'!$E$3:$E$13,'Source info'!AE3:AE13)</f>
        <v>19.2</v>
      </c>
      <c r="N34" s="317" t="str">
        <f>VLOOKUP(K34,'Source info'!$EH$18:$HH$33,(MATCH($B$16,'Source info'!$EI$17:$HH$17,0 )+2))</f>
        <v>AI</v>
      </c>
      <c r="O34" s="318">
        <f>VLOOKUP($K$34,'Source info'!$EH$18:$HH$33,(MATCH($B$16,'Source info'!$EI$17:$HH$17,0 )+1))</f>
        <v>55</v>
      </c>
      <c r="P34" s="319" t="s">
        <v>56</v>
      </c>
      <c r="Q34" s="327">
        <f>$Q$6*$M$34/$M$6</f>
        <v>56.949152542372879</v>
      </c>
      <c r="R34" s="320" t="s">
        <v>56</v>
      </c>
      <c r="S34" s="285"/>
      <c r="T34" s="292" t="s">
        <v>56</v>
      </c>
      <c r="U34" s="328">
        <f t="shared" ref="U34:U44" si="4">S34/O34</f>
        <v>0</v>
      </c>
      <c r="V34" s="280">
        <f>Q34/O34</f>
        <v>1.0354391371340523</v>
      </c>
      <c r="W34" s="321">
        <f t="shared" si="3"/>
        <v>1.0354391371340523</v>
      </c>
      <c r="X34" s="173"/>
      <c r="Y34" s="160"/>
      <c r="Z34" s="27"/>
    </row>
    <row r="35" spans="1:26" ht="15" customHeight="1">
      <c r="B35" s="431"/>
      <c r="C35" s="431"/>
      <c r="D35" s="431"/>
      <c r="E35" s="431"/>
      <c r="F35" s="431"/>
      <c r="G35" s="431"/>
      <c r="H35" s="431"/>
      <c r="I35" s="448"/>
      <c r="J35" s="135"/>
      <c r="K35" s="333" t="s">
        <v>64</v>
      </c>
      <c r="L35" s="333"/>
      <c r="M35" s="145">
        <f>LOOKUP($B$10,'Source info'!$E$3:$E$13,'Source info'!AF3:AF13)</f>
        <v>0.48</v>
      </c>
      <c r="N35" s="329" t="str">
        <f>VLOOKUP(K35,'Source info'!$EH$18:$HH$33,(MATCH($B$16,'Source info'!$EI$17:$HH$17,0 )+2))</f>
        <v>RDA</v>
      </c>
      <c r="O35" s="330">
        <f>VLOOKUP($K$35,'Source info'!$EH$18:$HH$33,(MATCH($B$16,'Source info'!$EI$17:$HH$17,0 )+1))</f>
        <v>0.6</v>
      </c>
      <c r="P35" s="331" t="str">
        <f>VLOOKUP(K35,'Source info'!$EH$18:$HH$33,(MATCH($B$16,'Source info'!$EI$17:$HH$17,0 )+3))</f>
        <v>mg</v>
      </c>
      <c r="Q35" s="334">
        <f>$Q$6*$M$35/$M$6</f>
        <v>1.423728813559322</v>
      </c>
      <c r="R35" s="335" t="str">
        <f>LOOKUP($B$10,'Source info'!$E$3:$E$13,'Source info'!AG3:AG13)</f>
        <v>mg</v>
      </c>
      <c r="S35" s="283"/>
      <c r="T35" s="286" t="s">
        <v>45</v>
      </c>
      <c r="U35" s="339">
        <f t="shared" si="4"/>
        <v>0</v>
      </c>
      <c r="V35" s="323">
        <f>IF(AND(R35="mg",P35="mcg"),Q35/O35*1000,IF(AND(R35="mcg",P35="mg"),Q35/O35/1000,Q35/O35))</f>
        <v>2.3728813559322033</v>
      </c>
      <c r="W35" s="340">
        <f t="shared" si="3"/>
        <v>2.3728813559322033</v>
      </c>
      <c r="X35" s="160"/>
      <c r="Y35" s="160"/>
      <c r="Z35" s="397"/>
    </row>
    <row r="36" spans="1:26" ht="15" customHeight="1">
      <c r="B36" s="162"/>
      <c r="C36" s="162"/>
      <c r="D36" s="162"/>
      <c r="E36" s="162"/>
      <c r="F36" s="162"/>
      <c r="G36" s="162"/>
      <c r="H36" s="350"/>
      <c r="J36" s="135"/>
      <c r="K36" s="324" t="s">
        <v>65</v>
      </c>
      <c r="L36" s="324"/>
      <c r="M36" s="145">
        <f>LOOKUP($B$10,'Source info'!$E$3:$E$13,'Source info'!AH3:AH13)</f>
        <v>0.96</v>
      </c>
      <c r="N36" s="317" t="str">
        <f>VLOOKUP(K36,'Source info'!$EH$18:$HH$33,(MATCH($B$16,'Source info'!$EI$17:$HH$17,0 )+2))</f>
        <v>RDA</v>
      </c>
      <c r="O36" s="318">
        <f>VLOOKUP($K$36,'Source info'!$EH$18:$HH$33,(MATCH($B$16,'Source info'!$EI$17:$HH$17,0 )+1))</f>
        <v>0.6</v>
      </c>
      <c r="P36" s="319" t="str">
        <f>VLOOKUP(K36,'Source info'!$EH$18:$HH$33,(MATCH($B$16,'Source info'!$EI$17:$HH$17,0 )+3))</f>
        <v>mg</v>
      </c>
      <c r="Q36" s="326">
        <f>$Q$6*$M$36/$M$6</f>
        <v>2.847457627118644</v>
      </c>
      <c r="R36" s="320" t="str">
        <f>LOOKUP($B$10,'Source info'!$E$3:$E$13,'Source info'!AI3:AI13)</f>
        <v>mg</v>
      </c>
      <c r="S36" s="289"/>
      <c r="T36" s="292" t="s">
        <v>45</v>
      </c>
      <c r="U36" s="328">
        <f t="shared" si="4"/>
        <v>0</v>
      </c>
      <c r="V36" s="280">
        <f>IF(AND(R36="mg",P36="mcg"),Q36/O36*1000,IF(AND(R36="mcg",P36="mg"),Q36/O36/1000,Q36/O36))</f>
        <v>4.7457627118644066</v>
      </c>
      <c r="W36" s="321">
        <f t="shared" si="3"/>
        <v>4.7457627118644066</v>
      </c>
      <c r="X36" s="160"/>
      <c r="Y36" s="160"/>
      <c r="Z36" s="27"/>
    </row>
    <row r="37" spans="1:26" ht="15" customHeight="1">
      <c r="B37" s="434">
        <f>$B$13</f>
        <v>1400</v>
      </c>
      <c r="C37" s="434"/>
      <c r="D37" s="434"/>
      <c r="E37" s="434"/>
      <c r="F37" s="435">
        <f>IF(OR($B$10='Source info'!$B$7),$B$13/$M$6,$B$13*100/$M$6)</f>
        <v>296.61016949152543</v>
      </c>
      <c r="G37" s="435"/>
      <c r="H37" s="435"/>
      <c r="I37" s="435"/>
      <c r="K37" s="333" t="s">
        <v>66</v>
      </c>
      <c r="L37" s="333"/>
      <c r="M37" s="145">
        <f>LOOKUP($B$10,'Source info'!$E$3:$E$13,'Source info'!AJ3:AJ13)</f>
        <v>0.48</v>
      </c>
      <c r="N37" s="329" t="str">
        <f>VLOOKUP(K37,'Source info'!$EH$18:$HH$33,(MATCH($B$16,'Source info'!$EI$17:$HH$17,0 )+2))</f>
        <v>RDA</v>
      </c>
      <c r="O37" s="330">
        <f>VLOOKUP($K$37,'Source info'!$EH$18:$HH$33,(MATCH($B$16,'Source info'!$EI$17:$HH$17,0 )+1))</f>
        <v>0.6</v>
      </c>
      <c r="P37" s="331" t="str">
        <f>VLOOKUP(K37,'Source info'!$EH$18:$HH$33,(MATCH($B$16,'Source info'!$EI$17:$HH$17,0 )+3))</f>
        <v>mg</v>
      </c>
      <c r="Q37" s="334">
        <f>$Q$6*$M$37/$M$6</f>
        <v>1.423728813559322</v>
      </c>
      <c r="R37" s="335" t="str">
        <f>LOOKUP($B$10,'Source info'!$E$3:$E$13,'Source info'!AK3:AK13)</f>
        <v>mg</v>
      </c>
      <c r="S37" s="284"/>
      <c r="T37" s="286" t="s">
        <v>45</v>
      </c>
      <c r="U37" s="339">
        <f t="shared" si="4"/>
        <v>0</v>
      </c>
      <c r="V37" s="323">
        <f>IF(AND(R37="mg",P37="mcg"),Q37/O37*1000,IF(AND(R37="mcg",P37="mg"),Q37/O37/1000,Q37/O37))</f>
        <v>2.3728813559322033</v>
      </c>
      <c r="W37" s="340">
        <f t="shared" si="3"/>
        <v>2.3728813559322033</v>
      </c>
      <c r="X37" s="160"/>
      <c r="Y37" s="160"/>
      <c r="Z37" s="397"/>
    </row>
    <row r="38" spans="1:26" ht="15" customHeight="1">
      <c r="B38" s="434"/>
      <c r="C38" s="434"/>
      <c r="D38" s="434"/>
      <c r="E38" s="434"/>
      <c r="F38" s="435"/>
      <c r="G38" s="435"/>
      <c r="H38" s="435"/>
      <c r="I38" s="435"/>
      <c r="K38" s="324" t="s">
        <v>67</v>
      </c>
      <c r="L38" s="324"/>
      <c r="M38" s="145">
        <f>LOOKUP($B$10,'Source info'!$E$3:$E$13,'Source info'!AL3:AL13)</f>
        <v>1.9</v>
      </c>
      <c r="N38" s="317" t="str">
        <f>VLOOKUP(K38,'Source info'!$EH$18:$HH$33,(MATCH($B$16,'Source info'!$EI$17:$HH$17,0 )+2))</f>
        <v>RDA</v>
      </c>
      <c r="O38" s="318">
        <f>VLOOKUP($K$38,'Source info'!$EH$18:$HH$33,(MATCH($B$16,'Source info'!$EI$17:$HH$17,0 )+1))</f>
        <v>1.2</v>
      </c>
      <c r="P38" s="319" t="s">
        <v>56</v>
      </c>
      <c r="Q38" s="327">
        <f>$Q$6*$M$38/$M$6</f>
        <v>5.6355932203389827</v>
      </c>
      <c r="R38" s="320" t="s">
        <v>56</v>
      </c>
      <c r="S38" s="289"/>
      <c r="T38" s="292" t="s">
        <v>56</v>
      </c>
      <c r="U38" s="328">
        <f t="shared" si="4"/>
        <v>0</v>
      </c>
      <c r="V38" s="280">
        <f>Q38/O38</f>
        <v>4.6963276836158192</v>
      </c>
      <c r="W38" s="321">
        <f t="shared" si="3"/>
        <v>4.6963276836158192</v>
      </c>
      <c r="X38" s="160"/>
      <c r="Y38" s="160"/>
      <c r="Z38" s="27"/>
    </row>
    <row r="39" spans="1:26" ht="15" customHeight="1">
      <c r="K39" s="333" t="s">
        <v>68</v>
      </c>
      <c r="L39" s="333"/>
      <c r="M39" s="145">
        <f>LOOKUP($B$10,'Source info'!$E$3:$E$13,'Source info'!AM3:AM13)</f>
        <v>4.3</v>
      </c>
      <c r="N39" s="329" t="str">
        <f>VLOOKUP(K39,'Source info'!$EH$18:$HH$33,(MATCH($B$16,'Source info'!$EI$17:$HH$17,0 )+2))</f>
        <v>RDA</v>
      </c>
      <c r="O39" s="330">
        <f>VLOOKUP($K$39,'Source info'!$EH$18:$HH$33,(MATCH($B$16,'Source info'!$EI$17:$HH$17,0 )+1))</f>
        <v>8</v>
      </c>
      <c r="P39" s="331" t="str">
        <f>VLOOKUP(K39,'Source info'!$EH$18:$HH$33,(MATCH($B$16,'Source info'!$EI$17:$HH$17,0 )+3))</f>
        <v>mg</v>
      </c>
      <c r="Q39" s="334">
        <f>$Q$6*$M$39/$M$6</f>
        <v>12.754237288135593</v>
      </c>
      <c r="R39" s="335" t="str">
        <f>LOOKUP($B$10,'Source info'!$E$3:$E$13,'Source info'!AN3:AN13)</f>
        <v>mg</v>
      </c>
      <c r="S39" s="282"/>
      <c r="T39" s="286" t="s">
        <v>45</v>
      </c>
      <c r="U39" s="339">
        <f t="shared" si="4"/>
        <v>0</v>
      </c>
      <c r="V39" s="323">
        <f>IF(AND(R39="mg",P39="mcg"),Q39/O39*1000,IF(AND(R39="mcg",P39="mg"),Q39/O39/1000,Q39/O39))</f>
        <v>1.5942796610169492</v>
      </c>
      <c r="W39" s="340">
        <f t="shared" si="3"/>
        <v>1.5942796610169492</v>
      </c>
      <c r="X39" s="160"/>
      <c r="Y39" s="160"/>
      <c r="Z39" s="397"/>
    </row>
    <row r="40" spans="1:26" ht="15" customHeight="1">
      <c r="B40" s="418">
        <f>$B$13</f>
        <v>1400</v>
      </c>
      <c r="C40" s="418"/>
      <c r="D40" s="418"/>
      <c r="E40" s="418"/>
      <c r="F40" s="418"/>
      <c r="G40" s="418"/>
      <c r="H40" s="418"/>
      <c r="I40" s="418"/>
      <c r="K40" s="324" t="s">
        <v>69</v>
      </c>
      <c r="L40" s="325" t="s">
        <v>47</v>
      </c>
      <c r="M40" s="145">
        <f>LOOKUP($B$10,'Source info'!$E$3:$E$13,'Source info'!AO3:AO13)</f>
        <v>143</v>
      </c>
      <c r="N40" s="317" t="str">
        <f>VLOOKUP(K40,'Source info'!$EH$18:$HH$33,(MATCH($B$16,'Source info'!$EI$17:$HH$17,0 )+2))</f>
        <v>RDA</v>
      </c>
      <c r="O40" s="318">
        <f>VLOOKUP($K$40,'Source info'!$EH$18:$HH$33,(MATCH($B$16,'Source info'!$EI$17:$HH$17,0 )+1))</f>
        <v>200</v>
      </c>
      <c r="P40" s="319" t="s">
        <v>70</v>
      </c>
      <c r="Q40" s="327">
        <f>$Q$6*$M$40/$M$6</f>
        <v>424.15254237288133</v>
      </c>
      <c r="R40" s="320" t="s">
        <v>56</v>
      </c>
      <c r="S40" s="289"/>
      <c r="T40" s="292" t="s">
        <v>56</v>
      </c>
      <c r="U40" s="328">
        <f t="shared" si="4"/>
        <v>0</v>
      </c>
      <c r="V40" s="280">
        <f>Q40*1.666666/O40</f>
        <v>3.5346031059322032</v>
      </c>
      <c r="W40" s="321">
        <f t="shared" si="3"/>
        <v>3.5346031059322032</v>
      </c>
      <c r="X40" s="241" t="s">
        <v>47</v>
      </c>
      <c r="Y40" s="160"/>
      <c r="Z40" s="27"/>
    </row>
    <row r="41" spans="1:26" ht="15" customHeight="1">
      <c r="B41" s="433" t="str">
        <f>$B$10</f>
        <v>Neocate® Junior, Vanilla or Strawberry</v>
      </c>
      <c r="C41" s="433"/>
      <c r="D41" s="433"/>
      <c r="E41" s="433"/>
      <c r="F41" s="433"/>
      <c r="G41" s="175">
        <f>ROUNDUP($B$13*31/LOOKUP($B$10,'Source info'!$E$3:$E$13,'Source info'!$BR$3:$BR$13),1)</f>
        <v>23</v>
      </c>
      <c r="H41" s="436" t="str">
        <f>IF(OR($B$10='Source info'!$B$7),"cartons/month","cans/month")</f>
        <v>cans/month</v>
      </c>
      <c r="I41" s="436"/>
      <c r="K41" s="333" t="s">
        <v>71</v>
      </c>
      <c r="L41" s="333"/>
      <c r="M41" s="145">
        <f>LOOKUP($B$10,'Source info'!$E$3:$E$13,'Source info'!AP3:AP13)</f>
        <v>1.9</v>
      </c>
      <c r="N41" s="329" t="str">
        <f>VLOOKUP(K41,'Source info'!$EH$18:$HH$33,(MATCH($B$16,'Source info'!$EI$17:$HH$17,0 )+2))</f>
        <v>AI</v>
      </c>
      <c r="O41" s="330">
        <f>VLOOKUP($K$41,'Source info'!$EH$18:$HH$33,(MATCH($B$16,'Source info'!$EI$17:$HH$17,0 )+1))</f>
        <v>3</v>
      </c>
      <c r="P41" s="331" t="str">
        <f>VLOOKUP(K41,'Source info'!$EH$18:$HH$33,(MATCH($B$16,'Source info'!$EI$17:$HH$17,0 )+3))</f>
        <v>mg</v>
      </c>
      <c r="Q41" s="334">
        <f>$Q$6*$M$41/$M$6</f>
        <v>5.6355932203389827</v>
      </c>
      <c r="R41" s="335" t="str">
        <f>LOOKUP($B$10,'Source info'!$E$3:$E$13,'Source info'!AQ3:AQ13)</f>
        <v>mg</v>
      </c>
      <c r="S41" s="284"/>
      <c r="T41" s="286" t="s">
        <v>45</v>
      </c>
      <c r="U41" s="339">
        <f t="shared" si="4"/>
        <v>0</v>
      </c>
      <c r="V41" s="323">
        <f>IF(AND(R41="mg",P41="mcg"),Q41/O41*1000,IF(AND(R41="mcg",P41="mg"),Q41/O41/1000,Q41/O41))</f>
        <v>1.8785310734463276</v>
      </c>
      <c r="W41" s="340">
        <f t="shared" si="3"/>
        <v>1.8785310734463276</v>
      </c>
      <c r="X41" s="160"/>
      <c r="Y41" s="160"/>
      <c r="Z41" s="397"/>
    </row>
    <row r="42" spans="1:26" ht="15" customHeight="1">
      <c r="B42" s="433"/>
      <c r="C42" s="433"/>
      <c r="D42" s="433"/>
      <c r="E42" s="433"/>
      <c r="F42" s="433"/>
      <c r="G42" s="174">
        <f>ROUNDUP(($G$41/IF(OR($B$10='Source info'!B7),27,4)),1)</f>
        <v>5.8</v>
      </c>
      <c r="H42" s="437" t="s">
        <v>72</v>
      </c>
      <c r="I42" s="437"/>
      <c r="K42" s="324" t="s">
        <v>73</v>
      </c>
      <c r="L42" s="324"/>
      <c r="M42" s="145">
        <f>LOOKUP($B$10,'Source info'!$E$3:$E$13,'Source info'!AR3:AR13)</f>
        <v>14.4</v>
      </c>
      <c r="N42" s="317" t="str">
        <f>VLOOKUP(K42,'Source info'!$EH$18:$HH$33,(MATCH($B$16,'Source info'!$EI$17:$HH$17,0 )+2))</f>
        <v>AI</v>
      </c>
      <c r="O42" s="318">
        <f>VLOOKUP($K$42,'Source info'!$EH$18:$HH$33,(MATCH($B$16,'Source info'!$EI$17:$HH$17,0 )+1))</f>
        <v>12</v>
      </c>
      <c r="P42" s="319" t="s">
        <v>56</v>
      </c>
      <c r="Q42" s="327">
        <f>$Q$6*$M$42/$M$6</f>
        <v>42.711864406779661</v>
      </c>
      <c r="R42" s="320" t="s">
        <v>56</v>
      </c>
      <c r="S42" s="289"/>
      <c r="T42" s="292" t="s">
        <v>56</v>
      </c>
      <c r="U42" s="328">
        <f t="shared" si="4"/>
        <v>0</v>
      </c>
      <c r="V42" s="280">
        <f>Q42/O42</f>
        <v>3.5593220338983049</v>
      </c>
      <c r="W42" s="321">
        <f t="shared" si="3"/>
        <v>3.5593220338983049</v>
      </c>
      <c r="X42" s="160"/>
      <c r="Y42" s="160"/>
      <c r="Z42" s="27"/>
    </row>
    <row r="43" spans="1:26" ht="15" customHeight="1">
      <c r="A43" s="167"/>
      <c r="B43" s="432">
        <f>IF(OR($B$10='Source info'!$B$7),27,4)</f>
        <v>4</v>
      </c>
      <c r="C43" s="432"/>
      <c r="D43" s="432"/>
      <c r="E43" s="351"/>
      <c r="F43" s="351"/>
      <c r="G43" s="352"/>
      <c r="H43" s="352"/>
      <c r="I43" s="353" t="s">
        <v>74</v>
      </c>
      <c r="K43" s="333" t="s">
        <v>75</v>
      </c>
      <c r="L43" s="333"/>
      <c r="M43" s="145">
        <f>LOOKUP($B$10,'Source info'!$E$3:$E$13,'Source info'!AS3:AS13)</f>
        <v>44.6</v>
      </c>
      <c r="N43" s="329" t="str">
        <f>VLOOKUP(K43,'Source info'!$EH$18:$HH$33,(MATCH($B$16,'Source info'!$EI$17:$HH$17,0 )+2))</f>
        <v>RDA</v>
      </c>
      <c r="O43" s="330">
        <f>VLOOKUP($K$43,'Source info'!$EH$18:$HH$33,(MATCH($B$16,'Source info'!$EI$17:$HH$17,0 )+1))</f>
        <v>25</v>
      </c>
      <c r="P43" s="331" t="s">
        <v>45</v>
      </c>
      <c r="Q43" s="336">
        <f>$Q$6*$M$43/$M$6</f>
        <v>132.28813559322035</v>
      </c>
      <c r="R43" s="335" t="s">
        <v>45</v>
      </c>
      <c r="S43" s="284"/>
      <c r="T43" s="286" t="s">
        <v>45</v>
      </c>
      <c r="U43" s="339">
        <f t="shared" si="4"/>
        <v>0</v>
      </c>
      <c r="V43" s="323">
        <f>Q43/O43</f>
        <v>5.2915254237288138</v>
      </c>
      <c r="W43" s="340">
        <f t="shared" si="3"/>
        <v>5.2915254237288138</v>
      </c>
      <c r="X43" s="160"/>
      <c r="Y43" s="160"/>
      <c r="Z43" s="397"/>
    </row>
    <row r="44" spans="1:26" ht="15" customHeight="1">
      <c r="A44" s="345" t="s">
        <v>27</v>
      </c>
      <c r="B44" s="169" t="s">
        <v>76</v>
      </c>
      <c r="C44" s="160"/>
      <c r="D44" s="160"/>
      <c r="E44" s="160"/>
      <c r="F44" s="160"/>
      <c r="G44" s="160"/>
      <c r="H44" s="160"/>
      <c r="I44" s="160"/>
      <c r="K44" s="324" t="s">
        <v>77</v>
      </c>
      <c r="L44" s="324"/>
      <c r="M44" s="145">
        <f>LOOKUP($B$10,'Source info'!$E$3:$E$13,'Source info'!AT3:AT13)</f>
        <v>143</v>
      </c>
      <c r="N44" s="317" t="str">
        <f>VLOOKUP(K44,'Source info'!$EH$18:$HH$33,(MATCH($B$16,'Source info'!$EI$17:$HH$17,0 )+2))</f>
        <v>AI</v>
      </c>
      <c r="O44" s="318">
        <f>VLOOKUP($K$44,'Source info'!$EH$18:$HH$33,(MATCH($B$16,'Source info'!$EI$17:$HH$17,0 )+1))</f>
        <v>250</v>
      </c>
      <c r="P44" s="319" t="s">
        <v>45</v>
      </c>
      <c r="Q44" s="326">
        <f>$Q$6*$M$44/$M$6</f>
        <v>424.15254237288133</v>
      </c>
      <c r="R44" s="320" t="s">
        <v>45</v>
      </c>
      <c r="S44" s="284"/>
      <c r="T44" s="286" t="s">
        <v>45</v>
      </c>
      <c r="U44" s="328">
        <f t="shared" si="4"/>
        <v>0</v>
      </c>
      <c r="V44" s="280">
        <f>Q44/O44</f>
        <v>1.6966101694915252</v>
      </c>
      <c r="W44" s="321">
        <f t="shared" si="3"/>
        <v>1.6966101694915252</v>
      </c>
      <c r="X44" s="160"/>
      <c r="Y44" s="230"/>
    </row>
    <row r="45" spans="1:26" s="149" customFormat="1" ht="15" customHeight="1">
      <c r="A45" s="170" t="s">
        <v>35</v>
      </c>
      <c r="B45" s="412" t="s">
        <v>78</v>
      </c>
      <c r="C45" s="412"/>
      <c r="D45" s="412"/>
      <c r="E45" s="412"/>
      <c r="F45" s="412"/>
      <c r="G45" s="412"/>
      <c r="H45" s="412"/>
      <c r="I45" s="412"/>
      <c r="J45"/>
      <c r="K45" s="333" t="s">
        <v>79</v>
      </c>
      <c r="L45" s="333"/>
      <c r="M45" s="145">
        <f>LOOKUP($B$10,'Source info'!$E$3:$E$13,'Source info'!AU3:AU13)</f>
        <v>105</v>
      </c>
      <c r="N45" s="414" t="s">
        <v>39</v>
      </c>
      <c r="O45" s="414"/>
      <c r="P45" s="414"/>
      <c r="Q45" s="334">
        <f>$Q$6*$M$45/$M$6</f>
        <v>311.4406779661017</v>
      </c>
      <c r="R45" s="335" t="s">
        <v>45</v>
      </c>
      <c r="S45" s="455" t="s">
        <v>39</v>
      </c>
      <c r="T45" s="455"/>
      <c r="U45" s="338" t="s">
        <v>39</v>
      </c>
      <c r="V45" s="332" t="s">
        <v>39</v>
      </c>
      <c r="W45" s="341" t="s">
        <v>39</v>
      </c>
      <c r="X45" s="160"/>
      <c r="Y45" s="173"/>
    </row>
    <row r="46" spans="1:26" s="147" customFormat="1" ht="20.149999999999999" customHeight="1" thickBot="1">
      <c r="A46" s="163"/>
      <c r="B46" s="412"/>
      <c r="C46" s="412"/>
      <c r="D46" s="412"/>
      <c r="E46" s="412"/>
      <c r="F46" s="412"/>
      <c r="G46" s="412"/>
      <c r="H46" s="412"/>
      <c r="I46" s="412"/>
      <c r="J46"/>
      <c r="K46" s="221"/>
      <c r="L46" s="221"/>
      <c r="M46" s="221"/>
      <c r="N46" s="221"/>
      <c r="O46" s="221"/>
      <c r="P46" s="221"/>
      <c r="Q46" s="221"/>
      <c r="R46" s="221"/>
      <c r="S46" s="231"/>
      <c r="T46" s="231"/>
      <c r="U46" s="423" t="s">
        <v>15</v>
      </c>
      <c r="V46" s="423"/>
      <c r="W46" s="423"/>
      <c r="X46" s="160"/>
      <c r="Y46" s="160"/>
    </row>
    <row r="47" spans="1:26" ht="15" customHeight="1">
      <c r="A47" s="164"/>
      <c r="B47" s="165"/>
      <c r="C47" s="166"/>
      <c r="D47" s="166"/>
      <c r="E47" s="166"/>
      <c r="F47" s="166"/>
      <c r="G47" s="166"/>
      <c r="H47" s="166"/>
      <c r="I47" s="166"/>
      <c r="K47" s="119" t="s">
        <v>80</v>
      </c>
      <c r="L47" s="119"/>
      <c r="M47" s="232" t="s">
        <v>18</v>
      </c>
      <c r="N47" s="459" t="str">
        <f>B16&amp;" DRI"</f>
        <v>4-8 yr, Male DRI</v>
      </c>
      <c r="O47" s="459"/>
      <c r="P47" s="459"/>
      <c r="Q47" s="458" t="s">
        <v>19</v>
      </c>
      <c r="R47" s="458"/>
      <c r="S47" s="427" t="s">
        <v>9</v>
      </c>
      <c r="T47" s="427"/>
      <c r="U47" s="236" t="s">
        <v>10</v>
      </c>
      <c r="V47" s="237" t="s">
        <v>11</v>
      </c>
      <c r="W47" s="238" t="s">
        <v>12</v>
      </c>
      <c r="X47" s="160"/>
      <c r="Y47" s="160"/>
    </row>
    <row r="48" spans="1:26" ht="15" customHeight="1">
      <c r="A48" s="164" t="s">
        <v>81</v>
      </c>
      <c r="B48" s="464" t="s">
        <v>82</v>
      </c>
      <c r="C48" s="464"/>
      <c r="D48" s="464"/>
      <c r="E48" s="464"/>
      <c r="F48" s="464"/>
      <c r="G48" s="464"/>
      <c r="H48" s="464"/>
      <c r="I48" s="464"/>
      <c r="J48" s="135"/>
      <c r="K48" s="311" t="s">
        <v>83</v>
      </c>
      <c r="L48" s="311"/>
      <c r="M48" s="145">
        <f>LOOKUP(B$10,'Source info'!$E$3:$E$13,'Source info'!AW3:AW13)</f>
        <v>565</v>
      </c>
      <c r="N48" s="308" t="str">
        <f>VLOOKUP(K48,'Source info'!$HK$18:$KK$31,(MATCH($B$16,'Source info'!$HL$17:$KK$17,0 )+2))</f>
        <v>RDA</v>
      </c>
      <c r="O48" s="309">
        <f>VLOOKUP($K$48,'Source info'!$HK$18:$KK$31,(MATCH($B$16,'Source info'!$HL$17:$KK$17,0)+1))</f>
        <v>1000</v>
      </c>
      <c r="P48" s="309" t="s">
        <v>45</v>
      </c>
      <c r="Q48" s="312">
        <f>$Q$6*$M$48/$M$6</f>
        <v>1675.8474576271187</v>
      </c>
      <c r="R48" s="313" t="s">
        <v>45</v>
      </c>
      <c r="S48" s="289"/>
      <c r="T48" s="292" t="s">
        <v>45</v>
      </c>
      <c r="U48" s="315">
        <f>S48/O48</f>
        <v>0</v>
      </c>
      <c r="V48" s="310">
        <f>Q48/O48</f>
        <v>1.6758474576271187</v>
      </c>
      <c r="W48" s="316">
        <f>U48+V48</f>
        <v>1.6758474576271187</v>
      </c>
      <c r="X48" s="160"/>
      <c r="Y48" s="160"/>
    </row>
    <row r="49" spans="1:25" ht="15" customHeight="1">
      <c r="A49" s="164" t="s">
        <v>84</v>
      </c>
      <c r="B49" s="464" t="s">
        <v>85</v>
      </c>
      <c r="C49" s="464"/>
      <c r="D49" s="464"/>
      <c r="E49" s="464"/>
      <c r="F49" s="464"/>
      <c r="G49" s="464"/>
      <c r="H49" s="464"/>
      <c r="I49" s="464"/>
      <c r="J49" s="372"/>
      <c r="K49" s="151" t="s">
        <v>86</v>
      </c>
      <c r="L49" s="151"/>
      <c r="M49" s="145">
        <f>LOOKUP(B$10,'Source info'!$E$3:$E$13,'Source info'!AX3:AX13)</f>
        <v>382</v>
      </c>
      <c r="N49" s="226" t="str">
        <f>VLOOKUP(K49,'Source info'!$HK$18:$KK$31,(MATCH($B$16,'Source info'!$HL$17:$KK$17,0 )+2))</f>
        <v>RDA</v>
      </c>
      <c r="O49" s="152">
        <f>VLOOKUP($K$49,'Source info'!$HK$18:$KK$31,(MATCH($B$16,'Source info'!$HL$17:$KK$17,0)+1))</f>
        <v>500</v>
      </c>
      <c r="P49" s="152" t="s">
        <v>45</v>
      </c>
      <c r="Q49" s="227">
        <f>$Q$6*$M$49/$M$6</f>
        <v>1133.050847457627</v>
      </c>
      <c r="R49" s="153" t="s">
        <v>45</v>
      </c>
      <c r="S49" s="284"/>
      <c r="T49" s="286" t="s">
        <v>45</v>
      </c>
      <c r="U49" s="260">
        <f t="shared" ref="U49:U61" si="5">S49/O49</f>
        <v>0</v>
      </c>
      <c r="V49" s="154">
        <f>Q49/O49</f>
        <v>2.2661016949152541</v>
      </c>
      <c r="W49" s="229">
        <f t="shared" ref="W49:W61" si="6">U49+V49</f>
        <v>2.2661016949152541</v>
      </c>
      <c r="X49" s="160"/>
      <c r="Y49" s="160"/>
    </row>
    <row r="50" spans="1:25" ht="15" customHeight="1">
      <c r="A50" s="164"/>
      <c r="B50" s="464"/>
      <c r="C50" s="464"/>
      <c r="D50" s="464"/>
      <c r="E50" s="464"/>
      <c r="F50" s="464"/>
      <c r="G50" s="464"/>
      <c r="H50" s="464"/>
      <c r="I50" s="464"/>
      <c r="J50" s="373"/>
      <c r="K50" s="311" t="s">
        <v>87</v>
      </c>
      <c r="L50" s="311"/>
      <c r="M50" s="145">
        <f>LOOKUP(B$10,'Source info'!$E$3:$E$13,'Source info'!AY3:AY13)</f>
        <v>76.5</v>
      </c>
      <c r="N50" s="308" t="str">
        <f>VLOOKUP(K50,'Source info'!$HK$18:$KK$31,(MATCH($B$16,'Source info'!$HL$17:$KK$17,0 )+2))</f>
        <v>RDA</v>
      </c>
      <c r="O50" s="309">
        <f>VLOOKUP($K$50,'Source info'!$HK$18:$KK$31,(MATCH($B$16,'Source info'!$HL$17:$KK$17,0)+1))</f>
        <v>130</v>
      </c>
      <c r="P50" s="309" t="s">
        <v>45</v>
      </c>
      <c r="Q50" s="314">
        <f>$Q$6*$M$50/$M$6</f>
        <v>226.90677966101694</v>
      </c>
      <c r="R50" s="313" t="s">
        <v>45</v>
      </c>
      <c r="S50" s="289"/>
      <c r="T50" s="292" t="s">
        <v>45</v>
      </c>
      <c r="U50" s="315">
        <f t="shared" si="5"/>
        <v>0</v>
      </c>
      <c r="V50" s="310">
        <f>Q50/O50</f>
        <v>1.7454367666232073</v>
      </c>
      <c r="W50" s="316">
        <f t="shared" si="6"/>
        <v>1.7454367666232073</v>
      </c>
      <c r="X50" s="160"/>
      <c r="Y50" s="160"/>
    </row>
    <row r="51" spans="1:25" ht="15" customHeight="1">
      <c r="A51" s="164" t="s">
        <v>88</v>
      </c>
      <c r="B51" s="464" t="s">
        <v>89</v>
      </c>
      <c r="C51" s="464"/>
      <c r="D51" s="464"/>
      <c r="E51" s="464"/>
      <c r="F51" s="464"/>
      <c r="G51" s="464"/>
      <c r="H51" s="464"/>
      <c r="I51" s="464"/>
      <c r="J51" s="159"/>
      <c r="K51" s="151" t="s">
        <v>90</v>
      </c>
      <c r="L51" s="151"/>
      <c r="M51" s="145">
        <f>LOOKUP(B$10,'Source info'!$E$3:$E$13,'Source info'!AZ$3:AZ$13)</f>
        <v>7.4</v>
      </c>
      <c r="N51" s="226" t="str">
        <f>VLOOKUP(K51,'Source info'!$HK$18:$KK$31,(MATCH($B$16,'Source info'!$HL$17:$KK$17,0 )+2))</f>
        <v>RDA</v>
      </c>
      <c r="O51" s="152">
        <f>VLOOKUP($K$51,'Source info'!$HK$18:$KK$31,(MATCH($B$16,'Source info'!$HL$17:$KK$17,0)+1))</f>
        <v>10</v>
      </c>
      <c r="P51" s="152" t="s">
        <v>45</v>
      </c>
      <c r="Q51" s="228">
        <f>$Q$6*$M$51/$M$6</f>
        <v>21.949152542372882</v>
      </c>
      <c r="R51" s="153" t="s">
        <v>45</v>
      </c>
      <c r="S51" s="282"/>
      <c r="T51" s="286" t="s">
        <v>45</v>
      </c>
      <c r="U51" s="260">
        <f t="shared" si="5"/>
        <v>0</v>
      </c>
      <c r="V51" s="154">
        <f>Q51/O51</f>
        <v>2.1949152542372881</v>
      </c>
      <c r="W51" s="229">
        <f t="shared" si="6"/>
        <v>2.1949152542372881</v>
      </c>
      <c r="X51" s="160"/>
      <c r="Y51" s="160"/>
    </row>
    <row r="52" spans="1:25" ht="15" customHeight="1">
      <c r="A52" s="164"/>
      <c r="B52" s="464"/>
      <c r="C52" s="464"/>
      <c r="D52" s="464"/>
      <c r="E52" s="464"/>
      <c r="F52" s="464"/>
      <c r="G52" s="464"/>
      <c r="H52" s="464"/>
      <c r="I52" s="464"/>
      <c r="J52" s="159"/>
      <c r="K52" s="311" t="s">
        <v>91</v>
      </c>
      <c r="L52" s="311"/>
      <c r="M52" s="145">
        <f>LOOKUP(B$10,'Source info'!$E$3:$E$13,'Source info'!BA$3:BA$13)</f>
        <v>4.7</v>
      </c>
      <c r="N52" s="308" t="str">
        <f>VLOOKUP(K52,'Source info'!$HK$18:$KK$31,(MATCH($B$16,'Source info'!$HL$17:$KK$17,0 )+2))</f>
        <v>RDA</v>
      </c>
      <c r="O52" s="309">
        <f>VLOOKUP($K$52,'Source info'!$HK$18:$KK$31,(MATCH($B$16,'Source info'!$HL$17:$KK$17,0)+1))</f>
        <v>5</v>
      </c>
      <c r="P52" s="309" t="s">
        <v>45</v>
      </c>
      <c r="Q52" s="314">
        <f>$Q$6*$M$52/$M$6</f>
        <v>13.940677966101696</v>
      </c>
      <c r="R52" s="313" t="s">
        <v>45</v>
      </c>
      <c r="S52" s="285"/>
      <c r="T52" s="292" t="s">
        <v>45</v>
      </c>
      <c r="U52" s="315">
        <f t="shared" si="5"/>
        <v>0</v>
      </c>
      <c r="V52" s="310">
        <f>Q52/O52</f>
        <v>2.7881355932203391</v>
      </c>
      <c r="W52" s="316">
        <f t="shared" si="6"/>
        <v>2.7881355932203391</v>
      </c>
      <c r="X52" s="160"/>
      <c r="Y52" s="160"/>
    </row>
    <row r="53" spans="1:25" ht="15" customHeight="1">
      <c r="A53" s="164"/>
      <c r="B53" s="464"/>
      <c r="C53" s="464"/>
      <c r="D53" s="464"/>
      <c r="E53" s="464"/>
      <c r="F53" s="464"/>
      <c r="G53" s="464"/>
      <c r="H53" s="464"/>
      <c r="I53" s="464"/>
      <c r="J53" s="160"/>
      <c r="K53" s="151" t="s">
        <v>92</v>
      </c>
      <c r="L53" s="151"/>
      <c r="M53" s="145">
        <f>LOOKUP(B$10,'Source info'!$E$3:$E$13,'Source info'!BB3:BB13)</f>
        <v>0.62</v>
      </c>
      <c r="N53" s="226" t="str">
        <f>VLOOKUP(K53,'Source info'!$HK$18:$KK$31,(MATCH($B$16,'Source info'!$HL$17:$KK$17,0 )+2))</f>
        <v>AI</v>
      </c>
      <c r="O53" s="152">
        <f>VLOOKUP($K$53,'Source info'!$HK$18:$KK$31,(MATCH($B$16,'Source info'!$HL$17:$KK$17,0)+1))</f>
        <v>1.5</v>
      </c>
      <c r="P53" s="152" t="str">
        <f>VLOOKUP(K53,'Source info'!$HK$18:$KK$31,(MATCH($B$16,'Source info'!$HL$17:$KK$17,0)+3))</f>
        <v>mg</v>
      </c>
      <c r="Q53" s="153">
        <f>$Q$6*$M$53/$M$6</f>
        <v>1.8389830508474576</v>
      </c>
      <c r="R53" s="153" t="str">
        <f>LOOKUP($B$10,'Source info'!$E$3:$E$13,'Source info'!BC$3:BC$13)</f>
        <v>mg</v>
      </c>
      <c r="S53" s="283"/>
      <c r="T53" s="286" t="s">
        <v>45</v>
      </c>
      <c r="U53" s="260">
        <f t="shared" si="5"/>
        <v>0</v>
      </c>
      <c r="V53" s="154">
        <f>IF(AND(R53="mg",P53="mcg"),Q53/O53*1000,IF(AND(R53="mcg",P53="mg"),Q53/O53/1000,Q53/O53))</f>
        <v>1.2259887005649717</v>
      </c>
      <c r="W53" s="229">
        <f t="shared" si="6"/>
        <v>1.2259887005649717</v>
      </c>
      <c r="X53" s="160"/>
      <c r="Y53" s="160"/>
    </row>
    <row r="54" spans="1:25" ht="15" customHeight="1">
      <c r="A54" s="164"/>
      <c r="B54" s="461"/>
      <c r="C54" s="461"/>
      <c r="D54" s="461"/>
      <c r="E54" s="461"/>
      <c r="F54" s="461"/>
      <c r="G54" s="461"/>
      <c r="H54" s="461"/>
      <c r="I54" s="461"/>
      <c r="J54" s="202"/>
      <c r="K54" s="311" t="s">
        <v>93</v>
      </c>
      <c r="L54" s="311"/>
      <c r="M54" s="145">
        <f>LOOKUP(B$10,'Source info'!$E$3:$E$13,'Source info'!BD3:BD13)</f>
        <v>530</v>
      </c>
      <c r="N54" s="308" t="str">
        <f>VLOOKUP(K54,'Source info'!$HK$18:$KK$31,(MATCH($B$16,'Source info'!$HL$17:$KK$17,0 )+2))</f>
        <v>RDA</v>
      </c>
      <c r="O54" s="309">
        <f>VLOOKUP($K$54,'Source info'!$HK$18:$KK$31,(MATCH($B$16,'Source info'!$HL$17:$KK$17,0)+1))</f>
        <v>440</v>
      </c>
      <c r="P54" s="309" t="s">
        <v>56</v>
      </c>
      <c r="Q54" s="312">
        <f>$Q$6*$M$54/$M$6</f>
        <v>1572.0338983050847</v>
      </c>
      <c r="R54" s="313" t="s">
        <v>56</v>
      </c>
      <c r="S54" s="289"/>
      <c r="T54" s="292" t="s">
        <v>56</v>
      </c>
      <c r="U54" s="315">
        <f t="shared" si="5"/>
        <v>0</v>
      </c>
      <c r="V54" s="310">
        <f t="shared" ref="V54:V61" si="7">Q54/O54</f>
        <v>3.5728043143297379</v>
      </c>
      <c r="W54" s="316">
        <f t="shared" si="6"/>
        <v>3.5728043143297379</v>
      </c>
      <c r="X54" s="160"/>
      <c r="Y54" s="160"/>
    </row>
    <row r="55" spans="1:25" ht="15" customHeight="1">
      <c r="A55" s="164"/>
      <c r="B55" s="461"/>
      <c r="C55" s="461"/>
      <c r="D55" s="461"/>
      <c r="E55" s="461"/>
      <c r="F55" s="461"/>
      <c r="G55" s="461"/>
      <c r="H55" s="461"/>
      <c r="I55" s="461"/>
      <c r="J55" s="202"/>
      <c r="K55" s="151" t="s">
        <v>94</v>
      </c>
      <c r="L55" s="151"/>
      <c r="M55" s="145">
        <f>LOOKUP(B$10,'Source info'!$E$3:$E$13,'Source info'!BE3:BE13)</f>
        <v>85.2</v>
      </c>
      <c r="N55" s="226" t="str">
        <f>VLOOKUP(K55,'Source info'!$HK$18:$KK$31,(MATCH($B$16,'Source info'!$HL$17:$KK$17,0 )+2))</f>
        <v>RDA</v>
      </c>
      <c r="O55" s="152">
        <f>VLOOKUP($K$55,'Source info'!$HK$18:$KK$31,(MATCH($B$16,'Source info'!$HL$17:$KK$17,0)+1))</f>
        <v>90</v>
      </c>
      <c r="P55" s="152" t="s">
        <v>56</v>
      </c>
      <c r="Q55" s="227">
        <f>$Q$6*$M$55/$M$6</f>
        <v>252.71186440677965</v>
      </c>
      <c r="R55" s="153" t="s">
        <v>56</v>
      </c>
      <c r="S55" s="284"/>
      <c r="T55" s="286" t="s">
        <v>56</v>
      </c>
      <c r="U55" s="260">
        <f t="shared" si="5"/>
        <v>0</v>
      </c>
      <c r="V55" s="154">
        <f t="shared" si="7"/>
        <v>2.8079096045197738</v>
      </c>
      <c r="W55" s="229">
        <f t="shared" si="6"/>
        <v>2.8079096045197738</v>
      </c>
      <c r="X55" s="160"/>
      <c r="Y55" s="160"/>
    </row>
    <row r="56" spans="1:25" ht="15" customHeight="1">
      <c r="A56" s="461" t="s">
        <v>95</v>
      </c>
      <c r="B56" s="461"/>
      <c r="C56" s="461"/>
      <c r="D56" s="461"/>
      <c r="E56" s="461"/>
      <c r="F56" s="461"/>
      <c r="G56" s="461"/>
      <c r="H56" s="461"/>
      <c r="I56" s="461"/>
      <c r="J56" s="63"/>
      <c r="K56" s="311" t="s">
        <v>96</v>
      </c>
      <c r="L56" s="311"/>
      <c r="M56" s="145">
        <f>LOOKUP(B$10,'Source info'!$E$3:$E$13,'Source info'!BF3:BF13)</f>
        <v>21.5</v>
      </c>
      <c r="N56" s="308" t="str">
        <f>VLOOKUP(K56,'Source info'!$HK$18:$KK$31,(MATCH($B$16,'Source info'!$HL$17:$KK$17,0 )+2))</f>
        <v>RDA</v>
      </c>
      <c r="O56" s="309">
        <f>VLOOKUP($K$56,'Source info'!$HK$18:$KK$31,(MATCH($B$16,'Source info'!$HL$17:$KK$17,0)+1))</f>
        <v>22</v>
      </c>
      <c r="P56" s="309" t="s">
        <v>56</v>
      </c>
      <c r="Q56" s="314">
        <f>$Q$6*$M$56/$M$6</f>
        <v>63.771186440677965</v>
      </c>
      <c r="R56" s="313" t="s">
        <v>56</v>
      </c>
      <c r="S56" s="289"/>
      <c r="T56" s="292" t="s">
        <v>56</v>
      </c>
      <c r="U56" s="315">
        <f t="shared" si="5"/>
        <v>0</v>
      </c>
      <c r="V56" s="310">
        <f t="shared" si="7"/>
        <v>2.8986902927580895</v>
      </c>
      <c r="W56" s="316">
        <f t="shared" si="6"/>
        <v>2.8986902927580895</v>
      </c>
      <c r="X56" s="160"/>
      <c r="Y56" s="160"/>
    </row>
    <row r="57" spans="1:25" ht="15" customHeight="1">
      <c r="A57" s="461"/>
      <c r="B57" s="461"/>
      <c r="C57" s="461"/>
      <c r="D57" s="461"/>
      <c r="E57" s="461"/>
      <c r="F57" s="461"/>
      <c r="G57" s="461"/>
      <c r="H57" s="461"/>
      <c r="I57" s="461"/>
      <c r="J57" s="62"/>
      <c r="K57" s="151" t="s">
        <v>97</v>
      </c>
      <c r="L57" s="151"/>
      <c r="M57" s="145">
        <f>LOOKUP(B$10,'Source info'!$E$3:$E$13,'Source info'!BG3:BG13)</f>
        <v>18</v>
      </c>
      <c r="N57" s="226" t="str">
        <f>VLOOKUP(K57,'Source info'!$HK$18:$KK$31,(MATCH($B$16,'Source info'!$HL$17:$KK$17,0 )+2))</f>
        <v>AI</v>
      </c>
      <c r="O57" s="152">
        <f>VLOOKUP($K$57,'Source info'!$HK$18:$KK$31,(MATCH($B$16,'Source info'!$HL$17:$KK$17,0)+1))</f>
        <v>15</v>
      </c>
      <c r="P57" s="152" t="s">
        <v>56</v>
      </c>
      <c r="Q57" s="228">
        <f>$Q$6*$M$57/$M$6</f>
        <v>53.389830508474574</v>
      </c>
      <c r="R57" s="153" t="s">
        <v>56</v>
      </c>
      <c r="S57" s="282"/>
      <c r="T57" s="286" t="s">
        <v>56</v>
      </c>
      <c r="U57" s="260">
        <f t="shared" si="5"/>
        <v>0</v>
      </c>
      <c r="V57" s="154">
        <f t="shared" si="7"/>
        <v>3.5593220338983049</v>
      </c>
      <c r="W57" s="229">
        <f t="shared" si="6"/>
        <v>3.5593220338983049</v>
      </c>
      <c r="X57" s="160"/>
      <c r="Y57" s="160"/>
    </row>
    <row r="58" spans="1:25" ht="15" customHeight="1">
      <c r="A58" s="461"/>
      <c r="B58" s="461"/>
      <c r="C58" s="461"/>
      <c r="D58" s="461"/>
      <c r="E58" s="461"/>
      <c r="F58" s="461"/>
      <c r="G58" s="461"/>
      <c r="H58" s="461"/>
      <c r="I58" s="461"/>
      <c r="J58" s="62"/>
      <c r="K58" s="311" t="s">
        <v>98</v>
      </c>
      <c r="L58" s="311"/>
      <c r="M58" s="145">
        <f>LOOKUP(B$10,'Source info'!$E$3:$E$13,'Source info'!BH3:BH13)</f>
        <v>19.2</v>
      </c>
      <c r="N58" s="308" t="str">
        <f>VLOOKUP(K58,'Source info'!$HK$18:$KK$31,(MATCH($B$16,'Source info'!$HL$17:$KK$17,0 )+2))</f>
        <v>RDA</v>
      </c>
      <c r="O58" s="309">
        <f>VLOOKUP($K$58,'Source info'!$HK$18:$KK$31,(MATCH($B$16,'Source info'!$HL$17:$KK$17,0)+1))</f>
        <v>30</v>
      </c>
      <c r="P58" s="309" t="s">
        <v>56</v>
      </c>
      <c r="Q58" s="314">
        <f>$Q$6*$M$58/$M$6</f>
        <v>56.949152542372879</v>
      </c>
      <c r="R58" s="313" t="s">
        <v>56</v>
      </c>
      <c r="S58" s="289"/>
      <c r="T58" s="292" t="s">
        <v>56</v>
      </c>
      <c r="U58" s="315">
        <f t="shared" si="5"/>
        <v>0</v>
      </c>
      <c r="V58" s="310">
        <f t="shared" si="7"/>
        <v>1.8983050847457625</v>
      </c>
      <c r="W58" s="316">
        <f t="shared" si="6"/>
        <v>1.8983050847457625</v>
      </c>
      <c r="X58" s="160"/>
      <c r="Y58" s="160"/>
    </row>
    <row r="59" spans="1:25" ht="15" customHeight="1">
      <c r="A59" s="163"/>
      <c r="B59" s="171"/>
      <c r="C59" s="171"/>
      <c r="D59" s="460" t="s">
        <v>99</v>
      </c>
      <c r="E59" s="460"/>
      <c r="F59" s="460"/>
      <c r="G59" s="460"/>
      <c r="H59" s="460"/>
      <c r="I59" s="460"/>
      <c r="J59" s="460"/>
      <c r="K59" s="151" t="s">
        <v>100</v>
      </c>
      <c r="L59" s="355" t="s">
        <v>35</v>
      </c>
      <c r="M59" s="145">
        <f>LOOKUP(B$10,'Source info'!$E$3:$E$13,'Source info'!BI3:BI13)</f>
        <v>239</v>
      </c>
      <c r="N59" s="226" t="str">
        <f>VLOOKUP(K59,'Source info'!$HK$18:$KK$31,(MATCH($B$16,'Source info'!$HL$17:$KK$17,0 )+2))</f>
        <v>AI</v>
      </c>
      <c r="O59" s="152">
        <f>VLOOKUP($K$59,'Source info'!$HK$18:$KK$31,(MATCH($B$16,'Source info'!$HL$17:$KK$17,0)+1))</f>
        <v>1000</v>
      </c>
      <c r="P59" s="152" t="s">
        <v>45</v>
      </c>
      <c r="Q59" s="227">
        <f>$Q$6*$M$59/$M$6</f>
        <v>708.89830508474574</v>
      </c>
      <c r="R59" s="153" t="s">
        <v>45</v>
      </c>
      <c r="S59" s="284"/>
      <c r="T59" s="286" t="s">
        <v>45</v>
      </c>
      <c r="U59" s="260">
        <f t="shared" si="5"/>
        <v>0</v>
      </c>
      <c r="V59" s="154">
        <f t="shared" si="7"/>
        <v>0.70889830508474572</v>
      </c>
      <c r="W59" s="229">
        <f t="shared" si="6"/>
        <v>0.70889830508474572</v>
      </c>
      <c r="X59" s="348" t="s">
        <v>35</v>
      </c>
      <c r="Y59" s="160"/>
    </row>
    <row r="60" spans="1:25" ht="15" customHeight="1">
      <c r="A60" s="163"/>
      <c r="C60" s="160"/>
      <c r="D60" s="460"/>
      <c r="E60" s="460"/>
      <c r="F60" s="460"/>
      <c r="G60" s="460"/>
      <c r="H60" s="460"/>
      <c r="I60" s="460"/>
      <c r="J60" s="460"/>
      <c r="K60" s="311" t="s">
        <v>101</v>
      </c>
      <c r="L60" s="311"/>
      <c r="M60" s="145">
        <f>LOOKUP(B$10,'Source info'!$E$3:$E$13,'Source info'!BJ3:BJ13)</f>
        <v>653</v>
      </c>
      <c r="N60" s="308" t="str">
        <f>VLOOKUP(K60,'Source info'!$HK$18:$KK$31,(MATCH($B$16,'Source info'!$HL$17:$KK$17,0 )+2))</f>
        <v>AI</v>
      </c>
      <c r="O60" s="309">
        <f>VLOOKUP($K$60,'Source info'!$HK$18:$KK$31,(MATCH($B$16,'Source info'!$HL$17:$KK$17,0)+1))</f>
        <v>2300</v>
      </c>
      <c r="P60" s="309" t="s">
        <v>45</v>
      </c>
      <c r="Q60" s="312">
        <f>$Q$6*$M$60/$M$6</f>
        <v>1936.8644067796611</v>
      </c>
      <c r="R60" s="313" t="s">
        <v>45</v>
      </c>
      <c r="S60" s="289"/>
      <c r="T60" s="292" t="s">
        <v>45</v>
      </c>
      <c r="U60" s="315">
        <f t="shared" si="5"/>
        <v>0</v>
      </c>
      <c r="V60" s="310">
        <f t="shared" si="7"/>
        <v>0.84211495946941783</v>
      </c>
      <c r="W60" s="316">
        <f t="shared" si="6"/>
        <v>0.84211495946941783</v>
      </c>
      <c r="X60" s="160"/>
      <c r="Y60" s="160"/>
    </row>
    <row r="61" spans="1:25" ht="15" customHeight="1">
      <c r="A61" s="163"/>
      <c r="C61" s="62"/>
      <c r="D61" s="460"/>
      <c r="E61" s="460"/>
      <c r="F61" s="460"/>
      <c r="G61" s="460"/>
      <c r="H61" s="460"/>
      <c r="I61" s="460"/>
      <c r="J61" s="460"/>
      <c r="K61" s="151" t="s">
        <v>102</v>
      </c>
      <c r="L61" s="151"/>
      <c r="M61" s="145">
        <f>LOOKUP(B$10,'Source info'!$E$3:$E$13,'Source info'!BK3:BK13)</f>
        <v>364</v>
      </c>
      <c r="N61" s="226" t="str">
        <f>VLOOKUP(K61,'Source info'!$HK$18:$KK$31,(MATCH($B$16,'Source info'!$HL$17:$KK$17,0 )+2))</f>
        <v>AI</v>
      </c>
      <c r="O61" s="152">
        <f>VLOOKUP($K$61,'Source info'!$HK$18:$KK$31,(MATCH($B$16,'Source info'!$HL$17:$KK$17,0)+1))</f>
        <v>1900</v>
      </c>
      <c r="P61" s="152" t="s">
        <v>45</v>
      </c>
      <c r="Q61" s="227">
        <f>$Q$6*$M$61/$M$6</f>
        <v>1079.6610169491526</v>
      </c>
      <c r="R61" s="153" t="s">
        <v>45</v>
      </c>
      <c r="S61" s="284"/>
      <c r="T61" s="286" t="s">
        <v>45</v>
      </c>
      <c r="U61" s="260">
        <f t="shared" si="5"/>
        <v>0</v>
      </c>
      <c r="V61" s="154">
        <f t="shared" si="7"/>
        <v>0.56824264049955397</v>
      </c>
      <c r="W61" s="229">
        <f t="shared" si="6"/>
        <v>0.56824264049955397</v>
      </c>
      <c r="X61" s="160"/>
      <c r="Y61" s="160"/>
    </row>
    <row r="62" spans="1:25" ht="15" customHeight="1">
      <c r="A62" s="163"/>
      <c r="C62" s="62"/>
      <c r="D62" s="400" t="s">
        <v>103</v>
      </c>
      <c r="E62" s="401"/>
      <c r="F62" s="401"/>
      <c r="G62" s="401"/>
      <c r="H62" s="401"/>
      <c r="I62" s="401"/>
      <c r="J62" s="401"/>
      <c r="K62" s="151"/>
      <c r="L62" s="151"/>
      <c r="M62" s="145"/>
      <c r="N62" s="226"/>
      <c r="O62" s="152"/>
      <c r="P62" s="152"/>
      <c r="Q62" s="227"/>
      <c r="R62" s="153"/>
      <c r="S62" s="284"/>
      <c r="T62" s="286"/>
      <c r="U62" s="260"/>
      <c r="V62" s="154"/>
      <c r="W62" s="229"/>
      <c r="X62" s="160"/>
      <c r="Y62" s="160"/>
    </row>
    <row r="63" spans="1:25" ht="15" customHeight="1">
      <c r="A63" s="163"/>
      <c r="C63" s="62"/>
      <c r="D63" s="401"/>
      <c r="E63" s="401"/>
      <c r="F63" s="401"/>
      <c r="G63" s="401"/>
      <c r="H63" s="401"/>
      <c r="I63" s="401"/>
      <c r="J63" s="401"/>
      <c r="K63" s="151"/>
      <c r="L63" s="151"/>
      <c r="M63" s="145"/>
      <c r="N63" s="226"/>
      <c r="O63" s="152"/>
      <c r="P63" s="152"/>
      <c r="Q63" s="227"/>
      <c r="R63" s="153"/>
      <c r="S63" s="284"/>
      <c r="T63" s="286"/>
      <c r="U63" s="260"/>
      <c r="V63" s="154"/>
      <c r="W63" s="229"/>
      <c r="X63" s="160"/>
      <c r="Y63" s="160"/>
    </row>
    <row r="64" spans="1:25" ht="15" customHeight="1">
      <c r="A64" s="163"/>
      <c r="C64" s="62"/>
      <c r="D64" s="401"/>
      <c r="E64" s="401"/>
      <c r="F64" s="401"/>
      <c r="G64" s="401"/>
      <c r="H64" s="401"/>
      <c r="I64" s="401"/>
      <c r="J64" s="401"/>
      <c r="K64" s="151"/>
      <c r="L64" s="151"/>
      <c r="M64" s="145"/>
      <c r="N64" s="226"/>
      <c r="O64" s="152"/>
      <c r="P64" s="152"/>
      <c r="Q64" s="227"/>
      <c r="R64" s="153"/>
      <c r="S64" s="284"/>
      <c r="T64" s="286"/>
      <c r="U64" s="260"/>
      <c r="V64" s="154"/>
      <c r="W64" s="229"/>
      <c r="X64" s="160"/>
      <c r="Y64" s="160"/>
    </row>
    <row r="65" spans="1:23" ht="15" customHeight="1">
      <c r="A65" s="163"/>
      <c r="C65" s="160"/>
      <c r="D65" s="160"/>
      <c r="E65" s="160"/>
      <c r="F65" s="160"/>
      <c r="G65" s="160"/>
      <c r="H65" s="160"/>
      <c r="I65" s="160"/>
      <c r="K65" s="158"/>
      <c r="L65" s="158"/>
      <c r="M65" s="158"/>
      <c r="N65" s="61"/>
      <c r="O65" s="61"/>
      <c r="P65" s="61"/>
      <c r="Q65" s="158"/>
      <c r="R65" s="158"/>
      <c r="S65" s="158"/>
      <c r="T65" s="158"/>
      <c r="U65" s="61"/>
      <c r="V65" s="61"/>
      <c r="W65" s="61"/>
    </row>
    <row r="66" spans="1:23" ht="12" customHeight="1">
      <c r="B66" s="354" t="str">
        <f>"Percentages for "&amp;$B$16&amp;" DRIs contributed by "&amp;$B$10&amp;", and other dietary sources, if entered"</f>
        <v>Percentages for 4-8 yr, Male DRIs contributed by Neocate® Junior, Vanilla or Strawberry, and other dietary sources, if entered</v>
      </c>
      <c r="C66" s="281"/>
      <c r="D66" s="281"/>
      <c r="E66" s="281"/>
      <c r="F66" s="281"/>
      <c r="G66" s="281"/>
      <c r="H66" s="281"/>
      <c r="I66" s="281"/>
      <c r="J66" s="281"/>
      <c r="K66" s="281"/>
      <c r="L66" s="281"/>
      <c r="M66" s="281"/>
      <c r="N66" s="281"/>
      <c r="O66" s="281"/>
      <c r="P66" s="281"/>
      <c r="Q66" s="281"/>
      <c r="R66" s="281"/>
      <c r="S66" s="281"/>
      <c r="T66" s="281"/>
      <c r="U66" s="281"/>
      <c r="V66" s="281"/>
    </row>
    <row r="67" spans="1:23">
      <c r="B67" s="279" t="s">
        <v>104</v>
      </c>
    </row>
    <row r="71" spans="1:23" ht="15.5">
      <c r="K71" s="202"/>
      <c r="L71" s="202"/>
      <c r="M71" s="202"/>
      <c r="N71" s="202"/>
      <c r="O71" s="61"/>
      <c r="P71" s="173"/>
      <c r="Q71" s="202"/>
      <c r="R71" s="202"/>
      <c r="S71" s="202"/>
      <c r="T71" s="202"/>
      <c r="U71" s="173"/>
      <c r="V71" s="173"/>
      <c r="W71" s="160"/>
    </row>
    <row r="72" spans="1:23">
      <c r="K72" s="202"/>
      <c r="L72" s="202"/>
      <c r="M72" s="202"/>
      <c r="N72" s="202"/>
      <c r="O72" s="62"/>
      <c r="P72" s="61"/>
      <c r="Q72" s="202"/>
      <c r="R72" s="202"/>
      <c r="S72" s="202"/>
      <c r="T72" s="202"/>
      <c r="U72" s="61"/>
      <c r="V72" s="61"/>
      <c r="W72" s="61"/>
    </row>
    <row r="73" spans="1:23">
      <c r="K73" s="202"/>
      <c r="L73" s="202"/>
      <c r="M73" s="202"/>
      <c r="N73" s="202"/>
      <c r="O73" s="63"/>
      <c r="P73" s="62"/>
      <c r="Q73" s="202"/>
      <c r="R73" s="202"/>
      <c r="S73" s="202"/>
      <c r="T73" s="202"/>
      <c r="U73" s="62"/>
      <c r="V73" s="62"/>
      <c r="W73" s="62"/>
    </row>
    <row r="74" spans="1:23">
      <c r="K74" s="202"/>
      <c r="L74" s="202"/>
      <c r="M74" s="202"/>
      <c r="N74" s="202"/>
      <c r="O74" s="63"/>
      <c r="P74" s="63"/>
      <c r="Q74" s="202"/>
      <c r="R74" s="202"/>
      <c r="S74" s="202"/>
      <c r="T74" s="202"/>
      <c r="U74" s="63"/>
      <c r="V74" s="63"/>
      <c r="W74" s="63"/>
    </row>
    <row r="75" spans="1:23">
      <c r="K75" s="62"/>
      <c r="L75" s="62"/>
      <c r="M75" s="62"/>
      <c r="N75" s="62"/>
      <c r="O75" s="62"/>
      <c r="P75" s="63"/>
      <c r="Q75" s="62"/>
      <c r="R75" s="62"/>
      <c r="S75" s="62"/>
      <c r="T75" s="62"/>
      <c r="U75" s="63"/>
      <c r="V75" s="63"/>
      <c r="W75" s="63"/>
    </row>
    <row r="76" spans="1:23">
      <c r="K76" s="62"/>
      <c r="L76" s="62"/>
      <c r="M76" s="62"/>
      <c r="N76" s="62"/>
      <c r="O76" s="62"/>
      <c r="P76" s="62"/>
      <c r="Q76" s="62"/>
      <c r="R76" s="62"/>
      <c r="S76" s="62"/>
      <c r="T76" s="62"/>
      <c r="U76" s="62"/>
      <c r="V76" s="62"/>
      <c r="W76" s="62"/>
    </row>
    <row r="77" spans="1:23">
      <c r="K77" s="160"/>
      <c r="L77" s="160"/>
      <c r="M77" s="160"/>
      <c r="N77" s="160"/>
      <c r="O77" s="160"/>
      <c r="P77" s="62"/>
      <c r="Q77" s="160"/>
      <c r="R77" s="160"/>
      <c r="S77" s="160"/>
      <c r="T77" s="160"/>
      <c r="U77" s="62"/>
      <c r="V77" s="62"/>
      <c r="W77" s="62"/>
    </row>
    <row r="78" spans="1:23">
      <c r="K78" s="62"/>
      <c r="L78" s="62"/>
      <c r="M78" s="62"/>
      <c r="N78" s="62"/>
      <c r="O78" s="62"/>
      <c r="P78" s="160"/>
      <c r="Q78" s="62"/>
      <c r="R78" s="62"/>
      <c r="S78" s="62"/>
      <c r="T78" s="62"/>
      <c r="U78" s="160"/>
      <c r="V78" s="160"/>
      <c r="W78" s="160"/>
    </row>
    <row r="79" spans="1:23">
      <c r="P79" s="62"/>
      <c r="U79" s="62"/>
      <c r="V79" s="62"/>
      <c r="W79" s="62"/>
    </row>
    <row r="83" spans="2:22">
      <c r="B83" s="453" t="s">
        <v>105</v>
      </c>
      <c r="C83" s="454"/>
      <c r="D83" s="454"/>
      <c r="E83" s="454"/>
      <c r="F83" s="454"/>
      <c r="G83" s="454"/>
      <c r="H83" s="454"/>
      <c r="I83" s="454"/>
      <c r="J83" s="454"/>
      <c r="K83" s="454"/>
      <c r="L83" s="454"/>
      <c r="M83" s="454"/>
      <c r="N83" s="454"/>
      <c r="O83" s="454"/>
      <c r="P83" s="454"/>
      <c r="Q83" s="454"/>
      <c r="R83" s="454"/>
      <c r="S83" s="454"/>
      <c r="T83" s="454"/>
      <c r="U83" s="454"/>
      <c r="V83" s="454"/>
    </row>
    <row r="84" spans="2:22">
      <c r="B84" s="454"/>
      <c r="C84" s="454"/>
      <c r="D84" s="454"/>
      <c r="E84" s="454"/>
      <c r="F84" s="454"/>
      <c r="G84" s="454"/>
      <c r="H84" s="454"/>
      <c r="I84" s="454"/>
      <c r="J84" s="454"/>
      <c r="K84" s="454"/>
      <c r="L84" s="454"/>
      <c r="M84" s="454"/>
      <c r="N84" s="454"/>
      <c r="O84" s="454"/>
      <c r="P84" s="454"/>
      <c r="Q84" s="454"/>
      <c r="R84" s="454"/>
      <c r="S84" s="454"/>
      <c r="T84" s="454"/>
      <c r="U84" s="454"/>
      <c r="V84" s="454"/>
    </row>
    <row r="85" spans="2:22">
      <c r="B85" s="343" t="s">
        <v>106</v>
      </c>
      <c r="G85" s="160"/>
    </row>
  </sheetData>
  <sheetProtection algorithmName="SHA-512" hashValue="3g4iZ9MwPQRxIcvzw0pQ8/Els8Edq/4ciG2tS/RQ2NQhREqGFhxeJhoD2UIqfeW/yHYHgudbE/6tiWhi+ojLTA==" saltValue="lUfh1QqoHDapq9wGKc68pw==" spinCount="100000" sheet="1" formatColumns="0" selectLockedCells="1"/>
  <mergeCells count="91">
    <mergeCell ref="X10:X11"/>
    <mergeCell ref="B48:I48"/>
    <mergeCell ref="B49:I50"/>
    <mergeCell ref="B51:I53"/>
    <mergeCell ref="S5:T5"/>
    <mergeCell ref="S10:S11"/>
    <mergeCell ref="T10:T11"/>
    <mergeCell ref="N5:P5"/>
    <mergeCell ref="Q5:R5"/>
    <mergeCell ref="B26:I26"/>
    <mergeCell ref="R10:R11"/>
    <mergeCell ref="U10:U11"/>
    <mergeCell ref="V10:V11"/>
    <mergeCell ref="W10:W11"/>
    <mergeCell ref="L10:L11"/>
    <mergeCell ref="N10:N11"/>
    <mergeCell ref="P10:P11"/>
    <mergeCell ref="O10:O11"/>
    <mergeCell ref="Q10:Q11"/>
    <mergeCell ref="B83:V84"/>
    <mergeCell ref="S47:T47"/>
    <mergeCell ref="S21:T21"/>
    <mergeCell ref="S45:T45"/>
    <mergeCell ref="U46:W46"/>
    <mergeCell ref="W31:W32"/>
    <mergeCell ref="U31:U32"/>
    <mergeCell ref="Q47:R47"/>
    <mergeCell ref="N47:P47"/>
    <mergeCell ref="D59:J61"/>
    <mergeCell ref="A56:I58"/>
    <mergeCell ref="B54:I55"/>
    <mergeCell ref="N29:P29"/>
    <mergeCell ref="N31:N32"/>
    <mergeCell ref="Q29:R29"/>
    <mergeCell ref="K31:K32"/>
    <mergeCell ref="B16:I16"/>
    <mergeCell ref="I29:I35"/>
    <mergeCell ref="B24:I24"/>
    <mergeCell ref="B25:E25"/>
    <mergeCell ref="F25:G25"/>
    <mergeCell ref="H25:I25"/>
    <mergeCell ref="N18:P18"/>
    <mergeCell ref="N19:P19"/>
    <mergeCell ref="K10:K11"/>
    <mergeCell ref="B9:I9"/>
    <mergeCell ref="B27:H30"/>
    <mergeCell ref="B31:H35"/>
    <mergeCell ref="B43:D43"/>
    <mergeCell ref="B41:F42"/>
    <mergeCell ref="B37:E38"/>
    <mergeCell ref="F37:I38"/>
    <mergeCell ref="H41:I41"/>
    <mergeCell ref="H42:I42"/>
    <mergeCell ref="B10:I10"/>
    <mergeCell ref="B12:I12"/>
    <mergeCell ref="F13:G13"/>
    <mergeCell ref="H13:I13"/>
    <mergeCell ref="H19:I19"/>
    <mergeCell ref="B13:E13"/>
    <mergeCell ref="B45:I46"/>
    <mergeCell ref="B15:I15"/>
    <mergeCell ref="N20:P20"/>
    <mergeCell ref="N45:P45"/>
    <mergeCell ref="V1:W1"/>
    <mergeCell ref="S1:U3"/>
    <mergeCell ref="B40:I40"/>
    <mergeCell ref="F21:I21"/>
    <mergeCell ref="F20:I20"/>
    <mergeCell ref="F22:I22"/>
    <mergeCell ref="U4:W4"/>
    <mergeCell ref="U28:W28"/>
    <mergeCell ref="V31:V32"/>
    <mergeCell ref="S9:T9"/>
    <mergeCell ref="S29:T29"/>
    <mergeCell ref="B1:H1"/>
    <mergeCell ref="I1:K1"/>
    <mergeCell ref="B2:K4"/>
    <mergeCell ref="D62:J64"/>
    <mergeCell ref="S4:T4"/>
    <mergeCell ref="B17:I17"/>
    <mergeCell ref="B18:I18"/>
    <mergeCell ref="B19:E19"/>
    <mergeCell ref="B20:E22"/>
    <mergeCell ref="S17:T17"/>
    <mergeCell ref="S19:T19"/>
    <mergeCell ref="S18:T18"/>
    <mergeCell ref="S20:T20"/>
    <mergeCell ref="Q9:R9"/>
    <mergeCell ref="N9:P9"/>
    <mergeCell ref="N17:P17"/>
    <mergeCell ref="N21:P21"/>
  </mergeCells>
  <conditionalFormatting sqref="N22:N26 N30:N44 N48:N64 N12:N16 N10">
    <cfRule type="cellIs" dxfId="46" priority="103" operator="equal">
      <formula>"RDA"</formula>
    </cfRule>
  </conditionalFormatting>
  <conditionalFormatting sqref="Q48:Q64 Q30:Q45 Q6:Q8 Q12:Q21 Q10">
    <cfRule type="cellIs" dxfId="45" priority="96" operator="equal">
      <formula>0</formula>
    </cfRule>
    <cfRule type="cellIs" dxfId="44" priority="97" operator="lessThan">
      <formula>0.01</formula>
    </cfRule>
    <cfRule type="cellIs" dxfId="43" priority="98" operator="lessThan">
      <formula>0.1</formula>
    </cfRule>
    <cfRule type="cellIs" dxfId="42" priority="99" operator="lessThan">
      <formula>0.99</formula>
    </cfRule>
    <cfRule type="cellIs" dxfId="41" priority="101" operator="lessThan">
      <formula>100</formula>
    </cfRule>
    <cfRule type="cellIs" dxfId="40" priority="102" operator="greaterThanOrEqual">
      <formula>100</formula>
    </cfRule>
  </conditionalFormatting>
  <conditionalFormatting sqref="B31">
    <cfRule type="containsText" dxfId="39" priority="94" operator="containsText" text="only">
      <formula>NOT(ISERROR(SEARCH("only",B31)))</formula>
    </cfRule>
  </conditionalFormatting>
  <conditionalFormatting sqref="F20:I23">
    <cfRule type="expression" dxfId="38" priority="106">
      <formula>IF(OR($F$19=0),TRUE,FALSE)</formula>
    </cfRule>
  </conditionalFormatting>
  <conditionalFormatting sqref="J21">
    <cfRule type="expression" dxfId="37" priority="93">
      <formula>IF(($F$19=0),TRUE,FALSE)</formula>
    </cfRule>
  </conditionalFormatting>
  <conditionalFormatting sqref="O13:P13">
    <cfRule type="expression" dxfId="36" priority="12">
      <formula>IF(ISNUMBER(SEARCH("mo",$B$16)),TRUE,FALSE)</formula>
    </cfRule>
  </conditionalFormatting>
  <conditionalFormatting sqref="U13">
    <cfRule type="expression" dxfId="35" priority="10">
      <formula>IF(($N$13="-"),TRUE,FALSE)</formula>
    </cfRule>
  </conditionalFormatting>
  <dataValidations count="2">
    <dataValidation type="whole" showErrorMessage="1" errorTitle="Error" error="This is not a free-text field - Please use the drop-down menu." promptTitle="Product" prompt="Please use drop-down list to select an available Nutricia product." sqref="B13 B25" xr:uid="{367865DD-0A16-43D4-AFF4-66B04AC160B8}">
      <formula1>1</formula1>
      <formula2>100000</formula2>
    </dataValidation>
    <dataValidation type="decimal" allowBlank="1" showErrorMessage="1" errorTitle="Number needed" error="Enter a number; ensure it matches the required unit displayed for this nutrient." promptTitle="Number needed" sqref="S22:S26 S12:S16 S48:S64 S6:S8 S10 S30:S44" xr:uid="{E013DD8E-C11B-4742-9FCE-412DC1E150F8}">
      <formula1>0.0001</formula1>
      <formula2>100000</formula2>
    </dataValidation>
  </dataValidations>
  <hyperlinks>
    <hyperlink ref="B26:I26" r:id="rId1" location="160" display="Click here  to determine energy requirements based on the updated dietary reference intakes for energy" xr:uid="{0025BA36-5BD3-4FE5-8CBE-69692C1356DB}"/>
  </hyperlinks>
  <printOptions horizontalCentered="1" verticalCentered="1"/>
  <pageMargins left="0.45" right="0.45" top="0.5" bottom="0.25" header="0.3" footer="0.05"/>
  <pageSetup scale="54" orientation="portrait" r:id="rId2"/>
  <headerFooter>
    <oddHeader>&amp;C&amp;K01+047Printed from the Neocate® Calculator - for US Healthcare Professionals at &amp;"-,Bold"NutriciaLearningCenter.com</oddHeader>
    <oddFooter>&amp;CThe information provided by this tool does not constitute medical advice.</oddFooter>
  </headerFooter>
  <ignoredErrors>
    <ignoredError sqref="V53 V38 V40" formula="1"/>
    <ignoredError sqref="F20:I22 U13" evalError="1"/>
    <ignoredError sqref="N12:P16" unlockedFormula="1"/>
  </ignoredError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54" id="{00000000-000E-0000-0000-000047000000}">
            <xm:f>IF(($B$10='Source info'!$B$6),TRUE,FALSE)</xm:f>
            <x14:dxf>
              <numFmt numFmtId="212" formatCode="&quot;&lt;&quot;0.0"/>
            </x14:dxf>
          </x14:cfRule>
          <xm:sqref>Q60</xm:sqref>
        </x14:conditionalFormatting>
        <x14:conditionalFormatting xmlns:xm="http://schemas.microsoft.com/office/excel/2006/main">
          <x14:cfRule type="expression" priority="19" id="{00000000-000E-0000-0000-00000E000000}">
            <xm:f>IF(OR($B$10='Source info'!$B$3,$B$10='Source info'!$B$4),FALSE,TRUE)</xm:f>
            <x14:dxf>
              <font>
                <color theme="6" tint="0.79998168889431442"/>
              </font>
            </x14:dxf>
          </x14:cfRule>
          <xm:sqref>K19:L19</xm:sqref>
        </x14:conditionalFormatting>
        <x14:conditionalFormatting xmlns:xm="http://schemas.microsoft.com/office/excel/2006/main">
          <x14:cfRule type="expression" priority="20" id="{00000000-000E-0000-0000-00000D000000}">
            <xm:f>IF(OR($B$10='Source info'!$B$3,$B$10='Source info'!$B$4),FALSE,TRUE)</xm:f>
            <x14:dxf>
              <font>
                <color rgb="FFF9FBF5"/>
              </font>
            </x14:dxf>
          </x14:cfRule>
          <xm:sqref>K20:L20</xm:sqref>
        </x14:conditionalFormatting>
        <x14:conditionalFormatting xmlns:xm="http://schemas.microsoft.com/office/excel/2006/main">
          <x14:cfRule type="expression" priority="92" id="{1532AAE2-4C15-41FF-A80F-7CA5CDFCE406}">
            <xm:f>IF(($B$10='Source info'!$B$9),FALSE,TRUE)</xm:f>
            <x14:dxf>
              <font>
                <color theme="0"/>
              </font>
            </x14:dxf>
          </x14:cfRule>
          <xm:sqref>X12 A44:B44</xm:sqref>
        </x14:conditionalFormatting>
        <x14:conditionalFormatting xmlns:xm="http://schemas.microsoft.com/office/excel/2006/main">
          <x14:cfRule type="expression" priority="56" id="{387A212E-9015-4035-B44E-22344EAB927E}">
            <xm:f>IF((B$10='Source info'!$B$7),TRUE,FALSE)</xm:f>
            <x14:dxf>
              <numFmt numFmtId="211" formatCode="#,##0.00;\ \(#,##0.00\);\ &quot;-&quot;;[Black]\ @&quot;†&quot;"/>
            </x14:dxf>
          </x14:cfRule>
          <xm:sqref>R15:R16</xm:sqref>
        </x14:conditionalFormatting>
        <x14:conditionalFormatting xmlns:xm="http://schemas.microsoft.com/office/excel/2006/main">
          <x14:cfRule type="expression" priority="91" id="{43D2FA52-456C-4835-A1F3-E5E52C66E7D0}">
            <xm:f>IF((B$10='Source info'!$B$9),TRUE,FALSE)</xm:f>
            <x14:dxf>
              <numFmt numFmtId="210" formatCode="#,##0.00;\ \(#,##0.00\);\ &quot;-&quot;;[Black]\ @&quot;*&quot;"/>
            </x14:dxf>
          </x14:cfRule>
          <xm:sqref>R12</xm:sqref>
        </x14:conditionalFormatting>
        <x14:conditionalFormatting xmlns:xm="http://schemas.microsoft.com/office/excel/2006/main">
          <x14:cfRule type="expression" priority="24" id="{597A4790-2F87-40F2-80BB-C38A5D4BA1E3}">
            <xm:f>IF(OR($B$10='Source info'!$B$4),FALSE,TRUE)</xm:f>
            <x14:dxf>
              <font>
                <color theme="6" tint="0.79998168889431442"/>
              </font>
            </x14:dxf>
          </x14:cfRule>
          <xm:sqref>Q21:R21</xm:sqref>
        </x14:conditionalFormatting>
        <x14:conditionalFormatting xmlns:xm="http://schemas.microsoft.com/office/excel/2006/main">
          <x14:cfRule type="expression" priority="53" id="{A535115C-94FA-4051-A397-636215CC27EC}">
            <xm:f>IF(OR($B$10='Source info'!$B$4),FALSE,TRUE)</xm:f>
            <x14:dxf>
              <font>
                <color theme="6" tint="0.79998168889431442"/>
              </font>
            </x14:dxf>
          </x14:cfRule>
          <xm:sqref>K21:L21</xm:sqref>
        </x14:conditionalFormatting>
        <x14:conditionalFormatting xmlns:xm="http://schemas.microsoft.com/office/excel/2006/main">
          <x14:cfRule type="expression" priority="22" id="{2716AAA2-A667-43F0-B2E8-25BACEAE367C}">
            <xm:f>IF(OR($B$10='Source info'!$B$4,$B$10='Source info'!$B$3),FALSE,TRUE)</xm:f>
            <x14:dxf>
              <font>
                <color theme="6" tint="0.79998168889431442"/>
              </font>
            </x14:dxf>
          </x14:cfRule>
          <xm:sqref>Q19:R19</xm:sqref>
        </x14:conditionalFormatting>
        <x14:conditionalFormatting xmlns:xm="http://schemas.microsoft.com/office/excel/2006/main">
          <x14:cfRule type="expression" priority="21" id="{37115E3F-95A4-400A-A08B-2131B0B1E025}">
            <xm:f>IF(OR($B$10='Source info'!$B$4,$B$10='Source info'!$B$3),FALSE,TRUE)</xm:f>
            <x14:dxf>
              <font>
                <color rgb="FFF9FBF5"/>
              </font>
            </x14:dxf>
          </x14:cfRule>
          <xm:sqref>Q20:R20</xm:sqref>
        </x14:conditionalFormatting>
        <x14:conditionalFormatting xmlns:xm="http://schemas.microsoft.com/office/excel/2006/main">
          <x14:cfRule type="expression" priority="57" id="{E5DB86A2-6F0D-494B-A549-620ABBC08C6F}">
            <xm:f>IF(($B$10='Source info'!$B$7),FALSE,TRUE)</xm:f>
            <x14:dxf>
              <font>
                <color theme="0"/>
              </font>
            </x14:dxf>
          </x14:cfRule>
          <xm:sqref>X15:X16 A45:B45</xm:sqref>
        </x14:conditionalFormatting>
        <x14:conditionalFormatting xmlns:xm="http://schemas.microsoft.com/office/excel/2006/main">
          <x14:cfRule type="expression" priority="58" id="{1CAD90B7-B2A6-4B4F-8176-B6B472D2A06E}">
            <xm:f>IF(OR($B$10='Source info'!$B$7),TRUE,FALSE)</xm:f>
            <x14:dxf>
              <numFmt numFmtId="209" formatCode="&quot;(1 case = &quot;0&quot; cartons)&quot;"/>
            </x14:dxf>
          </x14:cfRule>
          <xm:sqref>B43</xm:sqref>
        </x14:conditionalFormatting>
        <x14:conditionalFormatting xmlns:xm="http://schemas.microsoft.com/office/excel/2006/main">
          <x14:cfRule type="expression" priority="71" id="{9E50C8C7-828A-4426-9093-3088D8CDEF9F}">
            <xm:f>IF(($B$10='Source info'!$B$7),TRUE,FALSE)</xm:f>
            <x14:dxf>
              <font>
                <color theme="0"/>
              </font>
            </x14:dxf>
          </x14:cfRule>
          <xm:sqref>K27:L27</xm:sqref>
        </x14:conditionalFormatting>
        <x14:conditionalFormatting xmlns:xm="http://schemas.microsoft.com/office/excel/2006/main">
          <x14:cfRule type="expression" priority="59" id="{19278B77-4294-4FB4-804A-D0FDAD5CD159}">
            <xm:f>IF(($B$10='Source info'!$B$7),TRUE,FALSE)</xm:f>
            <x14:dxf>
              <numFmt numFmtId="1" formatCode="0"/>
            </x14:dxf>
          </x14:cfRule>
          <xm:sqref>Q22:Q26</xm:sqref>
        </x14:conditionalFormatting>
        <x14:conditionalFormatting xmlns:xm="http://schemas.microsoft.com/office/excel/2006/main">
          <x14:cfRule type="expression" priority="55" id="{8659B94A-5283-47A1-8B94-D371290A7E72}">
            <xm:f>IF(($B$10='Source info'!$B$6),TRUE,FALSE)</xm:f>
            <x14:dxf>
              <numFmt numFmtId="208" formatCode="&quot;&lt;&quot;0%"/>
            </x14:dxf>
          </x14:cfRule>
          <xm:sqref>V60</xm:sqref>
        </x14:conditionalFormatting>
        <x14:conditionalFormatting xmlns:xm="http://schemas.microsoft.com/office/excel/2006/main">
          <x14:cfRule type="expression" priority="13" id="{61EF0930-F46D-4D54-B0CD-C9E21770D877}">
            <xm:f>IF(($B$10='Source info'!$B$6),TRUE,FALSE)</xm:f>
            <x14:dxf>
              <numFmt numFmtId="208" formatCode="&quot;&lt;&quot;0%"/>
            </x14:dxf>
          </x14:cfRule>
          <xm:sqref>W60</xm:sqref>
        </x14:conditionalFormatting>
        <x14:conditionalFormatting xmlns:xm="http://schemas.microsoft.com/office/excel/2006/main">
          <x14:cfRule type="expression" priority="8" id="{560B9460-E1A3-4998-82B1-C46BD7FF3BCD}">
            <xm:f>IF(($B$10='Source info'!$B$9),FALSE,TRUE)</xm:f>
            <x14:dxf>
              <font>
                <color theme="0"/>
              </font>
            </x14:dxf>
          </x14:cfRule>
          <xm:sqref>L12</xm:sqref>
        </x14:conditionalFormatting>
        <x14:conditionalFormatting xmlns:xm="http://schemas.microsoft.com/office/excel/2006/main">
          <x14:cfRule type="expression" priority="7" id="{6A30893E-13C9-4E10-8BFE-34E0849343B5}">
            <xm:f>IF(($B$10='Source info'!$B$7),FALSE,TRUE)</xm:f>
            <x14:dxf>
              <font>
                <color theme="6" tint="0.79998168889431442"/>
              </font>
            </x14:dxf>
          </x14:cfRule>
          <xm:sqref>L15</xm:sqref>
        </x14:conditionalFormatting>
        <x14:conditionalFormatting xmlns:xm="http://schemas.microsoft.com/office/excel/2006/main">
          <x14:cfRule type="expression" priority="6" id="{4B237326-7A99-494D-8A60-E2A1E5438C54}">
            <xm:f>IF(($B$10='Source info'!$B$7),FALSE,TRUE)</xm:f>
            <x14:dxf>
              <font>
                <color rgb="FFF9FBF5"/>
              </font>
            </x14:dxf>
          </x14:cfRule>
          <xm:sqref>L16</xm:sqref>
        </x14:conditionalFormatting>
        <x14:conditionalFormatting xmlns:xm="http://schemas.microsoft.com/office/excel/2006/main">
          <x14:cfRule type="expression" priority="3" id="{36F83317-B710-45DC-925E-1835F89476C2}">
            <xm:f>IF(OR($B$10='Source info'!$B$7),TRUE,FALSE)</xm:f>
            <x14:dxf>
              <numFmt numFmtId="207" formatCode="0.0\ &quot;cartons&quot;"/>
            </x14:dxf>
          </x14:cfRule>
          <xm:sqref>F37:I38</xm:sqref>
        </x14:conditionalFormatting>
        <x14:conditionalFormatting xmlns:xm="http://schemas.microsoft.com/office/excel/2006/main">
          <x14:cfRule type="expression" priority="2" id="{361662DC-6454-4E47-9D63-81B26B973DFE}">
            <xm:f>IF(($B$10='Source info'!$B$7),FALSE,TRUE)</xm:f>
            <x14:dxf>
              <font>
                <color theme="0"/>
              </font>
            </x14:dxf>
          </x14:cfRule>
          <xm:sqref>X59</xm:sqref>
        </x14:conditionalFormatting>
        <x14:conditionalFormatting xmlns:xm="http://schemas.microsoft.com/office/excel/2006/main">
          <x14:cfRule type="expression" priority="1" id="{28A497F9-BE36-469B-9C4C-58E376E48514}">
            <xm:f>IF(($B$10='Source info'!$B$7),FALSE,TRUE)</xm:f>
            <x14:dxf>
              <font>
                <color rgb="FFE1EAF3"/>
              </font>
            </x14:dxf>
          </x14:cfRule>
          <xm:sqref>L59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E99E1773-E04C-486F-8581-E8D8B1862170}">
          <x14:formula1>
            <xm:f>'Source info'!$CC$15:$CC$39</xm:f>
          </x14:formula1>
          <xm:sqref>B16:I16</xm:sqref>
        </x14:dataValidation>
        <x14:dataValidation type="list" allowBlank="1" showErrorMessage="1" errorTitle="Error" error="This is not a free-text field - Please use the drop-down menu." promptTitle="Product" prompt="Please use drop-down list to select an available Nutricia product." xr:uid="{00000000-0002-0000-0000-000001000000}">
          <x14:formula1>
            <xm:f>'Source info'!$B$3:$B$13</xm:f>
          </x14:formula1>
          <xm:sqref>B10:I10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9644"/>
    <pageSetUpPr fitToPage="1"/>
  </sheetPr>
  <dimension ref="A1:L69"/>
  <sheetViews>
    <sheetView showGridLines="0" tabSelected="1" topLeftCell="A11" zoomScaleNormal="100" zoomScaleSheetLayoutView="100" workbookViewId="0">
      <selection activeCell="B5" sqref="B5:F5"/>
    </sheetView>
  </sheetViews>
  <sheetFormatPr defaultRowHeight="14.5"/>
  <cols>
    <col min="1" max="1" width="5.7265625" customWidth="1"/>
    <col min="2" max="2" width="22.7265625" customWidth="1"/>
    <col min="3" max="4" width="15.7265625" customWidth="1"/>
    <col min="5" max="5" width="3.81640625" customWidth="1"/>
    <col min="6" max="6" width="10.1796875" customWidth="1"/>
    <col min="7" max="7" width="11.453125" customWidth="1"/>
    <col min="8" max="8" width="9.7265625" customWidth="1"/>
    <col min="9" max="10" width="8.26953125" customWidth="1"/>
    <col min="11" max="11" width="2.7265625" customWidth="1"/>
    <col min="12" max="12" width="4" customWidth="1"/>
  </cols>
  <sheetData>
    <row r="1" spans="1:12" ht="12.75" hidden="1" customHeight="1">
      <c r="A1" s="3">
        <f t="shared" ref="A1:L1" ca="1" si="0" xml:space="preserve"> CELL("width",A1)*7.59</f>
        <v>37.950000000000003</v>
      </c>
      <c r="B1" s="3">
        <f t="shared" ca="1" si="0"/>
        <v>166.98</v>
      </c>
      <c r="C1" s="3">
        <f t="shared" ca="1" si="0"/>
        <v>113.85</v>
      </c>
      <c r="D1" s="3">
        <f t="shared" ca="1" si="0"/>
        <v>113.85</v>
      </c>
      <c r="E1" s="3">
        <f t="shared" ca="1" si="0"/>
        <v>22.77</v>
      </c>
      <c r="F1" s="3">
        <f t="shared" ca="1" si="0"/>
        <v>75.900000000000006</v>
      </c>
      <c r="G1" s="3">
        <f t="shared" ca="1" si="0"/>
        <v>83.49</v>
      </c>
      <c r="H1" s="3">
        <f t="shared" ca="1" si="0"/>
        <v>68.31</v>
      </c>
      <c r="I1" s="3">
        <f t="shared" ca="1" si="0"/>
        <v>60.72</v>
      </c>
      <c r="J1" s="3">
        <f t="shared" ca="1" si="0"/>
        <v>60.72</v>
      </c>
      <c r="K1" s="3">
        <f t="shared" ca="1" si="0"/>
        <v>15.18</v>
      </c>
      <c r="L1" s="3">
        <f t="shared" ca="1" si="0"/>
        <v>22.77</v>
      </c>
    </row>
    <row r="2" spans="1:12" ht="33.75" customHeight="1">
      <c r="A2" s="528" t="s">
        <v>107</v>
      </c>
      <c r="B2" s="528"/>
      <c r="C2" s="528"/>
      <c r="D2" s="528"/>
      <c r="E2" s="528"/>
      <c r="F2" s="528"/>
      <c r="G2" s="528"/>
      <c r="H2" s="528"/>
      <c r="I2" s="528"/>
      <c r="J2" s="528"/>
      <c r="K2" s="528"/>
      <c r="L2" s="528"/>
    </row>
    <row r="3" spans="1:12" ht="15" customHeight="1">
      <c r="A3" s="64"/>
      <c r="B3" s="121" t="str">
        <f>IF(OR(B5='Source info'!B7,B5='Source info'!B6),"Only certain features function for Neocate Nutra and Neocate Splash products","")</f>
        <v/>
      </c>
      <c r="C3" s="71"/>
      <c r="D3" s="71"/>
      <c r="E3" s="71"/>
      <c r="F3" s="71"/>
      <c r="G3" s="71"/>
      <c r="H3" s="71"/>
      <c r="I3" s="71"/>
      <c r="J3" s="71"/>
      <c r="K3" s="71"/>
      <c r="L3" s="113" t="s">
        <v>108</v>
      </c>
    </row>
    <row r="4" spans="1:12" ht="15" customHeight="1">
      <c r="A4" s="192" t="s">
        <v>109</v>
      </c>
      <c r="B4" s="556" t="s">
        <v>110</v>
      </c>
      <c r="C4" s="556"/>
      <c r="D4" s="556"/>
      <c r="E4" s="556"/>
      <c r="F4" s="556"/>
      <c r="G4" s="540"/>
    </row>
    <row r="5" spans="1:12" ht="15" customHeight="1">
      <c r="A5" s="177"/>
      <c r="B5" s="529" t="s">
        <v>215</v>
      </c>
      <c r="C5" s="529"/>
      <c r="D5" s="529"/>
      <c r="E5" s="529"/>
      <c r="F5" s="529"/>
      <c r="G5" s="540"/>
      <c r="H5" s="553" t="s">
        <v>112</v>
      </c>
      <c r="I5" s="553"/>
      <c r="J5" s="553"/>
      <c r="K5" s="553"/>
      <c r="L5" s="553"/>
    </row>
    <row r="6" spans="1:12" ht="15" customHeight="1">
      <c r="A6" s="177"/>
      <c r="B6" s="554" t="str">
        <f>LOOKUP(B5,'Source info'!E3:E13,'Source info'!H3:H13)</f>
        <v xml:space="preserve">A nutritionally complete, powdered amino acid-based formula for individuals over the age of 1. </v>
      </c>
      <c r="C6" s="554"/>
      <c r="D6" s="554"/>
      <c r="E6" s="554"/>
      <c r="F6" s="554"/>
      <c r="G6" s="540"/>
      <c r="H6" s="553"/>
      <c r="I6" s="553"/>
      <c r="J6" s="553"/>
      <c r="K6" s="553"/>
      <c r="L6" s="553"/>
    </row>
    <row r="7" spans="1:12" ht="15" customHeight="1">
      <c r="A7" s="177"/>
      <c r="B7" s="554"/>
      <c r="C7" s="554"/>
      <c r="D7" s="554"/>
      <c r="E7" s="554"/>
      <c r="F7" s="554"/>
      <c r="G7" s="540"/>
      <c r="H7" s="553"/>
      <c r="I7" s="553"/>
      <c r="J7" s="553"/>
      <c r="K7" s="553"/>
      <c r="L7" s="553"/>
    </row>
    <row r="8" spans="1:12" ht="24" customHeight="1">
      <c r="A8" s="177"/>
      <c r="B8" s="554"/>
      <c r="C8" s="554"/>
      <c r="D8" s="554"/>
      <c r="E8" s="554"/>
      <c r="F8" s="554"/>
      <c r="G8" s="540"/>
      <c r="H8" s="56">
        <v>1600</v>
      </c>
      <c r="I8" s="530" t="s">
        <v>113</v>
      </c>
      <c r="J8" s="530"/>
      <c r="K8" s="530"/>
      <c r="L8" s="530"/>
    </row>
    <row r="9" spans="1:12">
      <c r="A9" s="177"/>
      <c r="B9" s="555" t="str">
        <f>LOOKUP(B5,'Source info'!E3:E13,'Source info'!I3:I13)</f>
        <v>Available in United States (formula upgraded 2018) and Canada (updated 2019). Refer to label for directions for preparation and storage and country-specific nutrition information.</v>
      </c>
      <c r="C9" s="555"/>
      <c r="D9" s="555"/>
      <c r="E9" s="555"/>
      <c r="F9" s="555"/>
      <c r="G9" s="540"/>
      <c r="H9" s="219">
        <f>ROUNDUP($H$8*31/LOOKUP($B$5,'Source info'!$E$3:$E$13,'Source info'!$BR$3:$BR$13),1)</f>
        <v>25.900000000000002</v>
      </c>
      <c r="I9" s="536" t="str">
        <f>IF(OR($B$5='Source info'!B7),"cartons/month","cans/month")</f>
        <v>cans/month</v>
      </c>
      <c r="J9" s="536"/>
      <c r="K9" s="536"/>
      <c r="L9" s="536"/>
    </row>
    <row r="10" spans="1:12" ht="21" customHeight="1">
      <c r="A10" s="177"/>
      <c r="B10" s="555"/>
      <c r="C10" s="555"/>
      <c r="D10" s="555"/>
      <c r="E10" s="555"/>
      <c r="F10" s="555"/>
      <c r="G10" s="540"/>
      <c r="H10" s="220">
        <f>ROUNDUP($H$9/IF(OR($B$5='Source info'!B7),27,4),1)</f>
        <v>6.5</v>
      </c>
      <c r="I10" s="537" t="s">
        <v>72</v>
      </c>
      <c r="J10" s="537"/>
      <c r="K10" s="537"/>
      <c r="L10" s="537"/>
    </row>
    <row r="11" spans="1:12" ht="12" customHeight="1">
      <c r="A11" s="177"/>
      <c r="B11" s="204"/>
      <c r="C11" s="204"/>
      <c r="D11" s="204"/>
      <c r="E11" s="204"/>
      <c r="F11" s="204"/>
      <c r="G11" s="212"/>
      <c r="H11" s="559" t="s">
        <v>74</v>
      </c>
      <c r="I11" s="559"/>
      <c r="J11" s="559"/>
      <c r="K11" s="559"/>
      <c r="L11" s="559"/>
    </row>
    <row r="12" spans="1:12" ht="15" customHeight="1">
      <c r="A12" s="192" t="s">
        <v>114</v>
      </c>
      <c r="B12" s="550" t="s">
        <v>115</v>
      </c>
      <c r="C12" s="550"/>
      <c r="D12" s="550"/>
      <c r="E12" s="550"/>
      <c r="F12" s="550"/>
      <c r="G12" s="213"/>
      <c r="H12" s="185"/>
      <c r="I12" s="185"/>
      <c r="J12" s="185"/>
      <c r="K12" s="185"/>
      <c r="L12" s="185"/>
    </row>
    <row r="13" spans="1:12" ht="45" customHeight="1">
      <c r="A13" s="160"/>
      <c r="B13" s="557" t="s">
        <v>116</v>
      </c>
      <c r="C13" s="558"/>
      <c r="D13" s="558"/>
      <c r="E13" s="558"/>
      <c r="F13" s="558"/>
      <c r="G13" s="558"/>
      <c r="H13" s="558"/>
      <c r="I13" s="558"/>
      <c r="J13" s="558"/>
      <c r="K13" s="558"/>
      <c r="L13" s="558"/>
    </row>
    <row r="14" spans="1:12" ht="16.399999999999999" customHeight="1">
      <c r="A14" s="160"/>
      <c r="B14" s="551" t="s">
        <v>117</v>
      </c>
      <c r="C14" s="549" t="s">
        <v>118</v>
      </c>
      <c r="D14" s="549"/>
      <c r="E14" s="533"/>
      <c r="F14" s="533"/>
      <c r="G14" s="533"/>
      <c r="H14" s="533"/>
      <c r="I14" s="533"/>
      <c r="J14" s="533"/>
      <c r="K14" s="146"/>
      <c r="L14" s="190"/>
    </row>
    <row r="15" spans="1:12" ht="16.399999999999999" customHeight="1">
      <c r="A15" s="186"/>
      <c r="B15" s="552"/>
      <c r="C15" s="538" t="s">
        <v>119</v>
      </c>
      <c r="D15" s="538"/>
      <c r="E15" s="538"/>
      <c r="F15" s="10">
        <v>28</v>
      </c>
      <c r="G15" s="122" t="s">
        <v>120</v>
      </c>
      <c r="H15" s="494">
        <f>F15/30</f>
        <v>0.93333333333333335</v>
      </c>
      <c r="I15" s="494"/>
      <c r="J15" s="494"/>
      <c r="K15" s="4"/>
      <c r="L15" s="190"/>
    </row>
    <row r="16" spans="1:12" ht="18" customHeight="1">
      <c r="A16" s="160"/>
      <c r="B16" s="513" t="s">
        <v>121</v>
      </c>
      <c r="C16" s="478" t="s">
        <v>122</v>
      </c>
      <c r="D16" s="478"/>
      <c r="E16" s="478"/>
      <c r="F16" s="11">
        <v>42</v>
      </c>
      <c r="G16" s="123" t="s">
        <v>123</v>
      </c>
      <c r="H16" s="524">
        <f>F16*30</f>
        <v>1260</v>
      </c>
      <c r="I16" s="524"/>
      <c r="J16" s="524"/>
      <c r="K16" s="4"/>
      <c r="L16" s="190"/>
    </row>
    <row r="17" spans="1:12" ht="16.5" customHeight="1">
      <c r="A17" s="205"/>
      <c r="B17" s="513"/>
      <c r="C17" s="479" t="s">
        <v>124</v>
      </c>
      <c r="D17" s="479"/>
      <c r="E17" s="479"/>
      <c r="F17" s="12">
        <f>F15*F16</f>
        <v>1176</v>
      </c>
      <c r="G17" s="13" t="s">
        <v>14</v>
      </c>
      <c r="H17" s="525">
        <f>F17*4.194</f>
        <v>4932.1440000000002</v>
      </c>
      <c r="I17" s="525"/>
      <c r="J17" s="525"/>
      <c r="K17" s="4"/>
      <c r="L17" s="190"/>
    </row>
    <row r="18" spans="1:12" ht="16.5" customHeight="1">
      <c r="A18" s="205"/>
      <c r="B18" s="513"/>
      <c r="C18" s="504" t="s">
        <v>125</v>
      </c>
      <c r="D18" s="504"/>
      <c r="E18" s="504"/>
      <c r="F18" s="14">
        <f>F17/LOOKUP($B$5,'Source info'!$E$3:$E$13,'Source info'!BN3:BN13)</f>
        <v>245.51148225469728</v>
      </c>
      <c r="G18" s="15" t="s">
        <v>126</v>
      </c>
      <c r="H18" s="499">
        <f>F18/LOOKUP($B$5,'Source info'!$E$3:$E$13,'Source info'!BP3:BP13)</f>
        <v>33.63170989790374</v>
      </c>
      <c r="I18" s="499"/>
      <c r="J18" s="499"/>
      <c r="K18" s="4"/>
      <c r="L18" s="190"/>
    </row>
    <row r="19" spans="1:12" ht="16.5" customHeight="1">
      <c r="A19" s="205"/>
      <c r="B19" s="513"/>
      <c r="C19" s="479" t="s">
        <v>127</v>
      </c>
      <c r="D19" s="479"/>
      <c r="E19" s="479"/>
      <c r="F19" s="12">
        <f>F18*LOOKUP($B$5,'Source info'!$E$3:$E$13,'Source info'!BO3:BO13)/30</f>
        <v>5.6467640918580368</v>
      </c>
      <c r="G19" s="13" t="s">
        <v>123</v>
      </c>
      <c r="H19" s="500">
        <f>F19*30</f>
        <v>169.40292275574112</v>
      </c>
      <c r="I19" s="500"/>
      <c r="J19" s="500"/>
      <c r="K19" s="4"/>
      <c r="L19" s="190"/>
    </row>
    <row r="20" spans="1:12" ht="16.5" customHeight="1">
      <c r="A20" s="205"/>
      <c r="B20" s="513"/>
      <c r="C20" s="504" t="s">
        <v>128</v>
      </c>
      <c r="D20" s="504"/>
      <c r="E20" s="504"/>
      <c r="F20" s="14">
        <f>H20/30</f>
        <v>36.353235908141961</v>
      </c>
      <c r="G20" s="15" t="s">
        <v>129</v>
      </c>
      <c r="H20" s="496">
        <f>H16-H19</f>
        <v>1090.5970772442588</v>
      </c>
      <c r="I20" s="496"/>
      <c r="J20" s="496"/>
      <c r="K20" s="4"/>
      <c r="L20" s="190"/>
    </row>
    <row r="21" spans="1:12" ht="6" customHeight="1">
      <c r="A21" s="205"/>
      <c r="B21" s="178"/>
      <c r="C21" s="178"/>
      <c r="D21" s="178"/>
      <c r="E21" s="178"/>
      <c r="F21" s="178"/>
      <c r="G21" s="178"/>
      <c r="H21" s="178"/>
      <c r="I21" s="178"/>
      <c r="J21" s="178"/>
      <c r="K21" s="178"/>
      <c r="L21" s="205"/>
    </row>
    <row r="22" spans="1:12" ht="11.25" customHeight="1">
      <c r="A22" s="526" t="str">
        <f>IF(OR(B5="CAN - Neocate® E028 Splash",B5="Neocate® Splash",B5="Neocate® Nutra"),"Mixing Method calculations are BLANK! Only for Neocate Nutra and Splash products","")</f>
        <v/>
      </c>
      <c r="B22" s="526"/>
      <c r="C22" s="526"/>
      <c r="D22" s="526"/>
      <c r="E22" s="526"/>
      <c r="F22" s="526"/>
      <c r="G22" s="526"/>
      <c r="H22" s="526"/>
      <c r="I22" s="526"/>
      <c r="J22" s="526"/>
      <c r="K22" s="526"/>
      <c r="L22" s="526"/>
    </row>
    <row r="23" spans="1:12" ht="20.25" hidden="1" customHeight="1" thickTop="1">
      <c r="A23" s="65"/>
      <c r="B23" s="505" t="s">
        <v>130</v>
      </c>
      <c r="C23" s="506"/>
      <c r="D23" s="506"/>
      <c r="E23" s="506"/>
      <c r="F23" s="506"/>
      <c r="G23" s="506"/>
      <c r="H23" s="506"/>
      <c r="I23" s="506"/>
      <c r="J23" s="507"/>
      <c r="K23" s="65"/>
      <c r="L23" s="65"/>
    </row>
    <row r="24" spans="1:12" ht="16" hidden="1" thickBot="1">
      <c r="A24" s="527"/>
      <c r="B24" s="66"/>
      <c r="C24" s="214">
        <v>150</v>
      </c>
      <c r="D24" s="68" t="s">
        <v>131</v>
      </c>
      <c r="E24" s="508">
        <f>C24/LOOKUP(B5,'Source info'!$E$3:$E$13,'Source info'!BP3:BP13)</f>
        <v>20.547945205479454</v>
      </c>
      <c r="F24" s="508"/>
      <c r="G24" s="508"/>
      <c r="H24" s="5"/>
      <c r="I24" s="6"/>
      <c r="J24" s="67"/>
      <c r="K24" s="535"/>
      <c r="L24" s="535"/>
    </row>
    <row r="25" spans="1:12" ht="30" hidden="1" customHeight="1">
      <c r="A25" s="527"/>
      <c r="B25" s="514" t="s">
        <v>132</v>
      </c>
      <c r="C25" s="515"/>
      <c r="D25" s="515"/>
      <c r="E25" s="515"/>
      <c r="F25" s="515"/>
      <c r="G25" s="515"/>
      <c r="H25" s="515"/>
      <c r="I25" s="515"/>
      <c r="J25" s="516"/>
      <c r="K25" s="535"/>
      <c r="L25" s="535"/>
    </row>
    <row r="26" spans="1:12" ht="8.25" hidden="1" customHeight="1" thickBot="1">
      <c r="A26" s="205"/>
      <c r="B26" s="501"/>
      <c r="C26" s="502"/>
      <c r="D26" s="502"/>
      <c r="E26" s="502"/>
      <c r="F26" s="502"/>
      <c r="G26" s="502"/>
      <c r="H26" s="502"/>
      <c r="I26" s="502"/>
      <c r="J26" s="503"/>
      <c r="K26" s="205"/>
      <c r="L26" s="205"/>
    </row>
    <row r="27" spans="1:12" ht="10.5" hidden="1" customHeight="1" thickTop="1">
      <c r="A27" s="539"/>
      <c r="B27" s="539"/>
      <c r="C27" s="539"/>
      <c r="D27" s="539"/>
      <c r="E27" s="539"/>
      <c r="F27" s="539"/>
      <c r="G27" s="539"/>
      <c r="H27" s="539"/>
      <c r="I27" s="539"/>
      <c r="J27" s="539"/>
      <c r="K27" s="539"/>
      <c r="L27" s="539"/>
    </row>
    <row r="28" spans="1:12" ht="15.75" customHeight="1">
      <c r="B28" s="521" t="s">
        <v>133</v>
      </c>
      <c r="C28" s="532" t="s">
        <v>134</v>
      </c>
      <c r="D28" s="532"/>
      <c r="E28" s="533"/>
      <c r="F28" s="533"/>
      <c r="G28" s="533"/>
      <c r="H28" s="533"/>
      <c r="I28" s="533"/>
      <c r="J28" s="533"/>
      <c r="K28" s="180"/>
      <c r="L28" s="64"/>
    </row>
    <row r="29" spans="1:12" ht="15" customHeight="1">
      <c r="A29" s="187"/>
      <c r="B29" s="522"/>
      <c r="C29" s="478" t="s">
        <v>119</v>
      </c>
      <c r="D29" s="478"/>
      <c r="E29" s="478"/>
      <c r="F29" s="10">
        <v>28</v>
      </c>
      <c r="G29" s="122" t="s">
        <v>120</v>
      </c>
      <c r="H29" s="494">
        <f>F29/30</f>
        <v>0.93333333333333335</v>
      </c>
      <c r="I29" s="494"/>
      <c r="J29" s="494"/>
      <c r="K29" s="181"/>
      <c r="L29" s="64"/>
    </row>
    <row r="30" spans="1:12" ht="15.75" customHeight="1">
      <c r="A30" s="160"/>
      <c r="B30" s="523" t="s">
        <v>135</v>
      </c>
      <c r="C30" s="538" t="s">
        <v>136</v>
      </c>
      <c r="D30" s="538"/>
      <c r="E30" s="538"/>
      <c r="F30" s="11">
        <v>21</v>
      </c>
      <c r="G30" s="122" t="s">
        <v>137</v>
      </c>
      <c r="H30" s="541">
        <f>F30*LOOKUP(B5,'Source info'!$E$3:$E$13,'Source info'!BP3:BP13)</f>
        <v>153.29999999999998</v>
      </c>
      <c r="I30" s="541"/>
      <c r="J30" s="541"/>
      <c r="K30" s="181"/>
      <c r="L30" s="64"/>
    </row>
    <row r="31" spans="1:12" ht="16.5" customHeight="1">
      <c r="A31" s="188"/>
      <c r="B31" s="523"/>
      <c r="C31" s="479" t="s">
        <v>124</v>
      </c>
      <c r="D31" s="479"/>
      <c r="E31" s="479"/>
      <c r="F31" s="12">
        <f>LOOKUP($B$5,'Source info'!$E$3:$E$13,'Source info'!BN3:BN13)*H30</f>
        <v>734.3069999999999</v>
      </c>
      <c r="G31" s="13" t="s">
        <v>14</v>
      </c>
      <c r="H31" s="525">
        <f>F31*4.194</f>
        <v>3079.6835579999997</v>
      </c>
      <c r="I31" s="525"/>
      <c r="J31" s="525"/>
      <c r="K31" s="181"/>
      <c r="L31" s="64"/>
    </row>
    <row r="32" spans="1:12" ht="16.5" customHeight="1">
      <c r="A32" s="188"/>
      <c r="B32" s="523"/>
      <c r="C32" s="534" t="s">
        <v>127</v>
      </c>
      <c r="D32" s="534"/>
      <c r="E32" s="534"/>
      <c r="F32" s="16">
        <f>H30*LOOKUP(B5,'Source info'!$E$3:$E$13,'Source info'!BO3:BO13)/30</f>
        <v>3.5258999999999996</v>
      </c>
      <c r="G32" s="17" t="s">
        <v>123</v>
      </c>
      <c r="H32" s="531">
        <f>F32*30</f>
        <v>105.77699999999999</v>
      </c>
      <c r="I32" s="531"/>
      <c r="J32" s="531"/>
      <c r="K32" s="181"/>
      <c r="L32" s="64"/>
    </row>
    <row r="33" spans="1:12" ht="16.5" customHeight="1">
      <c r="A33" s="188"/>
      <c r="B33" s="523"/>
      <c r="C33" s="520" t="s">
        <v>128</v>
      </c>
      <c r="D33" s="520"/>
      <c r="E33" s="520"/>
      <c r="F33" s="18">
        <f>H33/30</f>
        <v>22.699349999999995</v>
      </c>
      <c r="G33" s="19" t="s">
        <v>129</v>
      </c>
      <c r="H33" s="495">
        <f>H34-H32</f>
        <v>680.98049999999989</v>
      </c>
      <c r="I33" s="495"/>
      <c r="J33" s="495"/>
      <c r="K33" s="181"/>
      <c r="L33" s="64"/>
    </row>
    <row r="34" spans="1:12" ht="16.5" customHeight="1">
      <c r="A34" s="188"/>
      <c r="B34" s="523"/>
      <c r="C34" s="504" t="s">
        <v>138</v>
      </c>
      <c r="D34" s="504"/>
      <c r="E34" s="504"/>
      <c r="F34" s="14">
        <f>F31/F29</f>
        <v>26.225249999999996</v>
      </c>
      <c r="G34" s="15" t="s">
        <v>129</v>
      </c>
      <c r="H34" s="496">
        <f>F34*30</f>
        <v>786.75749999999982</v>
      </c>
      <c r="I34" s="496"/>
      <c r="J34" s="496"/>
      <c r="K34" s="181"/>
      <c r="L34" s="64"/>
    </row>
    <row r="35" spans="1:12" ht="6" customHeight="1">
      <c r="A35" s="188"/>
      <c r="B35" s="179"/>
      <c r="C35" s="179"/>
      <c r="D35" s="179"/>
      <c r="E35" s="179"/>
      <c r="F35" s="179"/>
      <c r="G35" s="179"/>
      <c r="H35" s="179"/>
      <c r="I35" s="179"/>
      <c r="J35" s="179"/>
      <c r="K35" s="179"/>
      <c r="L35" s="188"/>
    </row>
    <row r="36" spans="1:12" s="215" customFormat="1" ht="11.25" customHeight="1">
      <c r="A36" s="493" t="str">
        <f>IF(OR(B5="CAN - Neocate® E028 Splash",B5="Neocate® Splash",B5="Neocate® Nutra"),"Mixing Method calculations are BLANK! Only for Neocate Nutra and Splash products","")</f>
        <v/>
      </c>
      <c r="B36" s="493"/>
      <c r="C36" s="493"/>
      <c r="D36" s="493"/>
      <c r="E36" s="493"/>
      <c r="F36" s="493"/>
      <c r="G36" s="493"/>
      <c r="H36" s="493"/>
      <c r="I36" s="493"/>
      <c r="J36" s="493"/>
      <c r="K36" s="493"/>
      <c r="L36" s="493"/>
    </row>
    <row r="37" spans="1:12" ht="15.75" customHeight="1">
      <c r="B37" s="518" t="s">
        <v>139</v>
      </c>
      <c r="C37" s="193" t="s">
        <v>140</v>
      </c>
      <c r="D37" s="183"/>
      <c r="E37" s="183"/>
      <c r="F37" s="183"/>
      <c r="G37" s="183"/>
      <c r="H37" s="183"/>
      <c r="I37" s="183"/>
      <c r="J37" s="183"/>
      <c r="K37" s="183"/>
      <c r="L37" s="191"/>
    </row>
    <row r="38" spans="1:12" ht="15" customHeight="1">
      <c r="A38" s="189"/>
      <c r="B38" s="519"/>
      <c r="C38" s="478" t="s">
        <v>141</v>
      </c>
      <c r="D38" s="478"/>
      <c r="E38" s="478"/>
      <c r="F38" s="11">
        <v>21</v>
      </c>
      <c r="G38" s="123" t="s">
        <v>142</v>
      </c>
      <c r="H38" s="524">
        <f>F38*30</f>
        <v>630</v>
      </c>
      <c r="I38" s="524"/>
      <c r="J38" s="524"/>
      <c r="K38" s="182"/>
      <c r="L38" s="190"/>
    </row>
    <row r="39" spans="1:12" ht="15.75" customHeight="1">
      <c r="A39" s="160"/>
      <c r="B39" s="546" t="s">
        <v>143</v>
      </c>
      <c r="C39" s="478" t="s">
        <v>144</v>
      </c>
      <c r="D39" s="478"/>
      <c r="E39" s="478"/>
      <c r="F39" s="11">
        <v>21</v>
      </c>
      <c r="G39" s="123" t="s">
        <v>137</v>
      </c>
      <c r="H39" s="541">
        <f>F39*LOOKUP($B$5,'Source info'!$E$3:$E$13,'Source info'!BP3:BP13)</f>
        <v>153.29999999999998</v>
      </c>
      <c r="I39" s="541"/>
      <c r="J39" s="541"/>
      <c r="K39" s="182"/>
      <c r="L39" s="190"/>
    </row>
    <row r="40" spans="1:12" ht="16.5" customHeight="1">
      <c r="A40" s="205"/>
      <c r="B40" s="546"/>
      <c r="C40" s="479" t="s">
        <v>124</v>
      </c>
      <c r="D40" s="479"/>
      <c r="E40" s="479"/>
      <c r="F40" s="12">
        <f>LOOKUP($B$5,'Source info'!$E$3:$E$13,'Source info'!BN3:BN13)*H39</f>
        <v>734.3069999999999</v>
      </c>
      <c r="G40" s="13" t="s">
        <v>14</v>
      </c>
      <c r="H40" s="525">
        <f>F40*4.194</f>
        <v>3079.6835579999997</v>
      </c>
      <c r="I40" s="525"/>
      <c r="J40" s="525"/>
      <c r="K40" s="182"/>
      <c r="L40" s="190"/>
    </row>
    <row r="41" spans="1:12" ht="16.5" customHeight="1">
      <c r="A41" s="205"/>
      <c r="B41" s="546"/>
      <c r="C41" s="534" t="s">
        <v>127</v>
      </c>
      <c r="D41" s="534"/>
      <c r="E41" s="534"/>
      <c r="F41" s="16">
        <f>H39*LOOKUP($B$5,'Source info'!$E$3:$E$13,'Source info'!BO3:BO13)/30</f>
        <v>3.5258999999999996</v>
      </c>
      <c r="G41" s="17" t="s">
        <v>123</v>
      </c>
      <c r="H41" s="531">
        <f>F41*30</f>
        <v>105.77699999999999</v>
      </c>
      <c r="I41" s="531"/>
      <c r="J41" s="531"/>
      <c r="K41" s="182"/>
      <c r="L41" s="190"/>
    </row>
    <row r="42" spans="1:12" ht="16.5" customHeight="1">
      <c r="A42" s="205"/>
      <c r="B42" s="546"/>
      <c r="C42" s="520" t="s">
        <v>145</v>
      </c>
      <c r="D42" s="520"/>
      <c r="E42" s="520"/>
      <c r="F42" s="18">
        <f>F40/(H41+H38)*30</f>
        <v>29.940063361589171</v>
      </c>
      <c r="G42" s="19" t="s">
        <v>120</v>
      </c>
      <c r="H42" s="543">
        <f>F42/30</f>
        <v>0.9980021120529724</v>
      </c>
      <c r="I42" s="543"/>
      <c r="J42" s="543"/>
      <c r="K42" s="182"/>
      <c r="L42" s="190"/>
    </row>
    <row r="43" spans="1:12" ht="16.5" customHeight="1">
      <c r="A43" s="205"/>
      <c r="B43" s="546"/>
      <c r="C43" s="504" t="s">
        <v>138</v>
      </c>
      <c r="D43" s="504"/>
      <c r="E43" s="504"/>
      <c r="F43" s="14">
        <f>F38+F41</f>
        <v>24.5259</v>
      </c>
      <c r="G43" s="15" t="s">
        <v>129</v>
      </c>
      <c r="H43" s="496">
        <f>H41+H38</f>
        <v>735.77700000000004</v>
      </c>
      <c r="I43" s="496"/>
      <c r="J43" s="496"/>
      <c r="K43" s="182"/>
      <c r="L43" s="190"/>
    </row>
    <row r="44" spans="1:12" ht="5.25" customHeight="1">
      <c r="A44" s="205"/>
      <c r="B44" s="176"/>
      <c r="C44" s="176"/>
      <c r="D44" s="176"/>
      <c r="E44" s="176"/>
      <c r="F44" s="176"/>
      <c r="G44" s="176"/>
      <c r="H44" s="176"/>
      <c r="I44" s="176"/>
      <c r="J44" s="176"/>
      <c r="K44" s="176"/>
      <c r="L44" s="205"/>
    </row>
    <row r="45" spans="1:12" ht="12" customHeight="1">
      <c r="B45" s="203" t="str">
        <f>"Characteristics of "&amp;B5&amp;":"</f>
        <v>Characteristics of Neocate® Junior, Unflavored (without fiber):</v>
      </c>
      <c r="C45" s="203"/>
      <c r="D45" s="203"/>
      <c r="E45" s="482">
        <f>LOOKUP(B5,'Source info'!$E$3:$E$13,'Source info'!BN3:BN13)</f>
        <v>4.79</v>
      </c>
      <c r="F45" s="482"/>
      <c r="G45" s="481">
        <f>LOOKUP(B5,'Source info'!$E$3:$E$13,'Source info'!BO3:BO13)</f>
        <v>0.69</v>
      </c>
      <c r="H45" s="481"/>
      <c r="I45" s="480">
        <f>LOOKUP(B5,'Source info'!$E$3:$E$13,'Source info'!BN3:BN13)*LOOKUP(B5,'Source info'!$E$3:$E$13,'Source info'!BP3:BP13)</f>
        <v>34.966999999999999</v>
      </c>
      <c r="J45" s="480"/>
      <c r="K45" s="480"/>
      <c r="L45" s="480"/>
    </row>
    <row r="46" spans="1:12" ht="12" customHeight="1">
      <c r="B46" s="211" t="s">
        <v>146</v>
      </c>
      <c r="C46" s="203"/>
      <c r="D46" s="203"/>
      <c r="E46" s="203"/>
      <c r="F46" s="203"/>
      <c r="G46" s="203"/>
      <c r="H46" s="203"/>
      <c r="I46" s="203"/>
      <c r="J46" s="203"/>
      <c r="K46" s="218" t="s">
        <v>147</v>
      </c>
      <c r="L46" s="203"/>
    </row>
    <row r="47" spans="1:12" ht="12" customHeight="1">
      <c r="A47" s="203"/>
      <c r="C47" s="203"/>
      <c r="D47" s="203"/>
      <c r="E47" s="208"/>
      <c r="F47" s="208"/>
      <c r="G47" s="207"/>
      <c r="H47" s="207"/>
      <c r="I47" s="206"/>
      <c r="J47" s="206"/>
      <c r="K47" s="206"/>
      <c r="L47" s="206"/>
    </row>
    <row r="48" spans="1:12" ht="27">
      <c r="A48" s="498" t="s">
        <v>148</v>
      </c>
      <c r="B48" s="498"/>
      <c r="C48" s="498"/>
      <c r="D48" s="498"/>
      <c r="E48" s="498"/>
      <c r="F48" s="498"/>
      <c r="G48" s="498"/>
      <c r="H48" s="498"/>
      <c r="I48" s="498"/>
      <c r="J48" s="498"/>
      <c r="K48" s="498"/>
      <c r="L48" s="498"/>
    </row>
    <row r="49" spans="1:12" ht="15" customHeight="1">
      <c r="A49" s="544" t="s">
        <v>149</v>
      </c>
      <c r="B49" s="544"/>
      <c r="C49" s="544"/>
      <c r="D49" s="544"/>
      <c r="E49" s="544"/>
      <c r="F49" s="544"/>
      <c r="G49" s="544"/>
      <c r="H49" s="544"/>
      <c r="I49" s="544"/>
      <c r="J49" s="544"/>
      <c r="K49" s="544"/>
      <c r="L49" s="544"/>
    </row>
    <row r="50" spans="1:12" ht="16" customHeight="1">
      <c r="A50" s="192" t="s">
        <v>150</v>
      </c>
      <c r="B50" s="497" t="str">
        <f>"How many grams of "&amp;$B$5&amp;" would you like a 'recipe' for?"</f>
        <v>How many grams of Neocate® Junior, Unflavored (without fiber) would you like a 'recipe' for?</v>
      </c>
      <c r="C50" s="497"/>
      <c r="D50" s="497"/>
      <c r="E50" s="497"/>
      <c r="F50" s="497"/>
      <c r="G50" s="497"/>
      <c r="H50" s="497"/>
      <c r="I50" s="497"/>
      <c r="J50" s="497"/>
      <c r="K50" s="497"/>
      <c r="L50" s="64"/>
    </row>
    <row r="51" spans="1:12" ht="18.5">
      <c r="A51" s="209"/>
      <c r="B51" s="184">
        <v>250</v>
      </c>
      <c r="C51" s="195" t="s">
        <v>126</v>
      </c>
      <c r="D51" s="194"/>
      <c r="E51" s="194"/>
      <c r="F51" s="194"/>
      <c r="G51" s="160"/>
      <c r="H51" s="160"/>
      <c r="I51" s="160"/>
      <c r="J51" s="64"/>
      <c r="K51" s="64"/>
      <c r="L51" s="64"/>
    </row>
    <row r="52" spans="1:12" s="215" customFormat="1" ht="13">
      <c r="A52" s="545" t="str">
        <f>IF(OR(B5="CAN - Neocate® E028 Splash",B5="Neocate® Splash"),"Household measures are BLANK! Only for Neocate Splash products","")</f>
        <v/>
      </c>
      <c r="B52" s="545"/>
      <c r="C52" s="545"/>
      <c r="D52" s="545"/>
      <c r="E52" s="545"/>
      <c r="F52" s="545"/>
      <c r="G52" s="545"/>
      <c r="H52" s="545"/>
      <c r="I52" s="545"/>
      <c r="J52" s="545"/>
      <c r="K52" s="545"/>
      <c r="L52" s="545"/>
    </row>
    <row r="53" spans="1:12" ht="21" customHeight="1">
      <c r="A53" s="476"/>
      <c r="B53" s="547" t="s">
        <v>151</v>
      </c>
      <c r="C53" s="547"/>
      <c r="D53" s="547"/>
      <c r="E53" s="547"/>
      <c r="F53" s="547"/>
      <c r="G53" s="511"/>
      <c r="H53" s="485" t="s">
        <v>152</v>
      </c>
      <c r="I53" s="485"/>
      <c r="J53" s="485"/>
      <c r="K53" s="485"/>
      <c r="L53" s="477"/>
    </row>
    <row r="54" spans="1:12" ht="18.5">
      <c r="A54" s="476"/>
      <c r="B54" s="517" t="str">
        <f>$B$5</f>
        <v>Neocate® Junior, Unflavored (without fiber)</v>
      </c>
      <c r="C54" s="517"/>
      <c r="D54" s="517"/>
      <c r="E54" s="517"/>
      <c r="F54" s="517"/>
      <c r="G54" s="511"/>
      <c r="H54" s="548" t="str">
        <f>$B$5</f>
        <v>Neocate® Junior, Unflavored (without fiber)</v>
      </c>
      <c r="I54" s="548"/>
      <c r="J54" s="548"/>
      <c r="K54" s="548"/>
      <c r="L54" s="477"/>
    </row>
    <row r="55" spans="1:12" ht="16.5" customHeight="1" thickBot="1">
      <c r="A55" s="476"/>
      <c r="B55" s="20" t="s">
        <v>153</v>
      </c>
      <c r="C55" s="7" t="s">
        <v>154</v>
      </c>
      <c r="D55" s="491" t="s">
        <v>155</v>
      </c>
      <c r="E55" s="491"/>
      <c r="F55" s="491"/>
      <c r="G55" s="511"/>
      <c r="H55" s="548"/>
      <c r="I55" s="548"/>
      <c r="J55" s="548"/>
      <c r="K55" s="548"/>
      <c r="L55" s="477"/>
    </row>
    <row r="56" spans="1:12" ht="18" customHeight="1" thickTop="1">
      <c r="A56" s="476"/>
      <c r="B56" s="196">
        <f>ROUNDDOWN('Mixing &amp; Measures Tool'!$B$51/D56,0)</f>
        <v>2</v>
      </c>
      <c r="C56" s="8" t="s">
        <v>156</v>
      </c>
      <c r="D56" s="490">
        <f>LOOKUP($B$5,'Source info'!$E$3:$E$13,'Source info'!BS3:BS13)</f>
        <v>120</v>
      </c>
      <c r="E56" s="490"/>
      <c r="F56" s="490"/>
      <c r="G56" s="511"/>
      <c r="H56" s="487">
        <f>LOOKUP($B$5,'Source info'!$E$3:$E$13,'Source info'!BQ3:BQ13)</f>
        <v>7.3</v>
      </c>
      <c r="I56" s="487"/>
      <c r="J56" s="487"/>
      <c r="K56" s="487"/>
      <c r="L56" s="477"/>
    </row>
    <row r="57" spans="1:12" ht="18" customHeight="1">
      <c r="A57" s="476"/>
      <c r="B57" s="87">
        <f>ROUNDDOWN(('Mixing &amp; Measures Tool'!$B$51-'Source info'!KO16)/D57, 0)</f>
        <v>0</v>
      </c>
      <c r="C57" s="9" t="s">
        <v>157</v>
      </c>
      <c r="D57" s="489">
        <f>LOOKUP($B$5,'Source info'!$E$3:$E$13,'Source info'!BT3:BT13)</f>
        <v>60</v>
      </c>
      <c r="E57" s="489"/>
      <c r="F57" s="489"/>
      <c r="G57" s="511"/>
      <c r="H57" s="492">
        <f>B51/H56</f>
        <v>34.246575342465754</v>
      </c>
      <c r="I57" s="492"/>
      <c r="J57" s="488">
        <f>B51</f>
        <v>250</v>
      </c>
      <c r="K57" s="488"/>
      <c r="L57" s="477"/>
    </row>
    <row r="58" spans="1:12" ht="18" customHeight="1">
      <c r="A58" s="476"/>
      <c r="B58" s="88">
        <f>ROUNDDOWN(('Mixing &amp; Measures Tool'!$B$51-'Source info'!KO17)/D58, 0)</f>
        <v>0</v>
      </c>
      <c r="C58" s="9" t="s">
        <v>158</v>
      </c>
      <c r="D58" s="489">
        <f>LOOKUP($B$5,'Source info'!$E$3:$E$13,'Source info'!BU3:BU13)</f>
        <v>40</v>
      </c>
      <c r="E58" s="489"/>
      <c r="F58" s="489"/>
      <c r="G58" s="511"/>
      <c r="H58" s="486" t="s">
        <v>159</v>
      </c>
      <c r="I58" s="486"/>
      <c r="J58" s="486"/>
      <c r="K58" s="486"/>
      <c r="L58" s="477"/>
    </row>
    <row r="59" spans="1:12" ht="18" customHeight="1">
      <c r="A59" s="476"/>
      <c r="B59" s="89">
        <f>ROUNDDOWN(('Mixing &amp; Measures Tool'!$B$51-'Source info'!KO18)/D59, 0)</f>
        <v>0</v>
      </c>
      <c r="C59" s="9" t="s">
        <v>160</v>
      </c>
      <c r="D59" s="489">
        <f>LOOKUP($B$5,'Source info'!$E$3:$E$13,'Source info'!BV3:BV13)</f>
        <v>30</v>
      </c>
      <c r="E59" s="489"/>
      <c r="F59" s="489"/>
      <c r="G59" s="511"/>
      <c r="H59" s="486"/>
      <c r="I59" s="486"/>
      <c r="J59" s="486"/>
      <c r="K59" s="486"/>
      <c r="L59" s="477"/>
    </row>
    <row r="60" spans="1:12" ht="18" customHeight="1">
      <c r="A60" s="476"/>
      <c r="B60" s="197">
        <f>ROUNDDOWN(('Mixing &amp; Measures Tool'!$B$51-'Source info'!KO19)/D60, 0)</f>
        <v>1</v>
      </c>
      <c r="C60" s="9" t="s">
        <v>161</v>
      </c>
      <c r="D60" s="489">
        <f>LOOKUP($B$5,'Source info'!$E$3:$E$13,'Source info'!BW3:BW13)</f>
        <v>7.5</v>
      </c>
      <c r="E60" s="489"/>
      <c r="F60" s="489"/>
      <c r="G60" s="511"/>
      <c r="H60" s="486"/>
      <c r="I60" s="486"/>
      <c r="J60" s="486"/>
      <c r="K60" s="486"/>
      <c r="L60" s="477"/>
    </row>
    <row r="61" spans="1:12" ht="18" customHeight="1">
      <c r="A61" s="476"/>
      <c r="B61" s="198">
        <f>ROUNDDOWN(('Mixing &amp; Measures Tool'!$B$51-'Source info'!KO20)/D61, 0)</f>
        <v>1</v>
      </c>
      <c r="C61" s="9" t="s">
        <v>162</v>
      </c>
      <c r="D61" s="489">
        <f>LOOKUP($B$5,'Source info'!$E$3:$E$13,'Source info'!BX3:BX13)</f>
        <v>2.5</v>
      </c>
      <c r="E61" s="489"/>
      <c r="F61" s="489"/>
      <c r="G61" s="511"/>
      <c r="L61" s="477"/>
    </row>
    <row r="62" spans="1:12" ht="18" customHeight="1" thickBot="1">
      <c r="A62" s="476"/>
      <c r="B62" s="199">
        <f>ROUNDDOWN(('Mixing &amp; Measures Tool'!$B$51-'Source info'!KO21)/D62, 0)</f>
        <v>0</v>
      </c>
      <c r="C62" s="70" t="s">
        <v>163</v>
      </c>
      <c r="D62" s="512">
        <f>LOOKUP($B$5,'Source info'!$E$3:$E$13,'Source info'!BY3:BY13)</f>
        <v>1.3</v>
      </c>
      <c r="E62" s="512"/>
      <c r="F62" s="512"/>
      <c r="G62" s="511"/>
      <c r="L62" s="477"/>
    </row>
    <row r="63" spans="1:12">
      <c r="A63" s="476"/>
      <c r="B63" s="69">
        <f>'Source info'!KO22</f>
        <v>250</v>
      </c>
      <c r="C63" s="483" t="s">
        <v>164</v>
      </c>
      <c r="D63" s="484"/>
      <c r="E63" s="484"/>
      <c r="F63" s="484"/>
      <c r="G63" s="216"/>
      <c r="L63" s="477"/>
    </row>
    <row r="64" spans="1:12">
      <c r="A64" s="476"/>
      <c r="B64" s="57">
        <f>'Mixing &amp; Measures Tool'!B51-B63</f>
        <v>0</v>
      </c>
      <c r="C64" s="509" t="s">
        <v>165</v>
      </c>
      <c r="D64" s="510"/>
      <c r="E64" s="510"/>
      <c r="F64" s="510"/>
      <c r="G64" s="510"/>
      <c r="H64" s="510"/>
      <c r="I64" s="510"/>
      <c r="J64" s="510"/>
      <c r="K64" s="510"/>
      <c r="L64" s="477"/>
    </row>
    <row r="65" spans="1:12" ht="7.5" customHeight="1">
      <c r="A65" s="476"/>
      <c r="B65" s="217" t="s">
        <v>261</v>
      </c>
      <c r="C65" s="210"/>
      <c r="D65" s="210"/>
      <c r="E65" s="210"/>
      <c r="F65" s="210"/>
      <c r="G65" s="210"/>
      <c r="H65" s="210"/>
      <c r="I65" s="210"/>
      <c r="J65" s="210"/>
      <c r="K65" s="210"/>
      <c r="L65" s="477"/>
    </row>
    <row r="66" spans="1:12" ht="26.25" customHeight="1">
      <c r="A66" s="542" t="s">
        <v>166</v>
      </c>
      <c r="B66" s="542"/>
      <c r="C66" s="542"/>
      <c r="D66" s="542"/>
      <c r="E66" s="542"/>
      <c r="F66" s="542"/>
      <c r="G66" s="542"/>
      <c r="H66" s="542"/>
      <c r="I66" s="542"/>
      <c r="J66" s="542"/>
      <c r="K66" s="542"/>
      <c r="L66" s="542"/>
    </row>
    <row r="67" spans="1:12">
      <c r="A67" s="542"/>
      <c r="B67" s="542"/>
      <c r="C67" s="542"/>
      <c r="D67" s="542"/>
      <c r="E67" s="542"/>
      <c r="F67" s="542"/>
      <c r="G67" s="542"/>
      <c r="H67" s="542"/>
      <c r="I67" s="542"/>
      <c r="J67" s="542"/>
      <c r="K67" s="542"/>
      <c r="L67" s="542"/>
    </row>
    <row r="68" spans="1:12" s="114" customFormat="1" ht="10.5">
      <c r="A68" s="358" t="s">
        <v>167</v>
      </c>
    </row>
    <row r="69" spans="1:12">
      <c r="A69" s="359" t="s">
        <v>168</v>
      </c>
    </row>
  </sheetData>
  <sheetProtection algorithmName="SHA-512" hashValue="lMNLpvPHCj60bYocOjMlw5qbNUyuA7RzLtEmfPX4LeIGKeWx9SibfeUz8TqWbkoca8oS/byLSGwxLquwS8ccIw==" saltValue="I7oAkisgeVk0dtBSDNnArA==" spinCount="100000" sheet="1" selectLockedCells="1"/>
  <mergeCells count="95">
    <mergeCell ref="H5:L7"/>
    <mergeCell ref="B6:F8"/>
    <mergeCell ref="B9:F10"/>
    <mergeCell ref="B4:F4"/>
    <mergeCell ref="B13:L13"/>
    <mergeCell ref="H11:L11"/>
    <mergeCell ref="C14:J14"/>
    <mergeCell ref="C15:E15"/>
    <mergeCell ref="H15:J15"/>
    <mergeCell ref="B12:F12"/>
    <mergeCell ref="B14:B15"/>
    <mergeCell ref="A66:L67"/>
    <mergeCell ref="C38:E38"/>
    <mergeCell ref="H38:J38"/>
    <mergeCell ref="H40:J40"/>
    <mergeCell ref="H41:J41"/>
    <mergeCell ref="H42:J42"/>
    <mergeCell ref="H43:J43"/>
    <mergeCell ref="H39:J39"/>
    <mergeCell ref="C43:E43"/>
    <mergeCell ref="C41:E41"/>
    <mergeCell ref="A49:L49"/>
    <mergeCell ref="A52:L52"/>
    <mergeCell ref="B39:B43"/>
    <mergeCell ref="B53:F53"/>
    <mergeCell ref="H54:K55"/>
    <mergeCell ref="C42:E42"/>
    <mergeCell ref="A2:L2"/>
    <mergeCell ref="B5:F5"/>
    <mergeCell ref="I8:L8"/>
    <mergeCell ref="H31:J31"/>
    <mergeCell ref="H32:J32"/>
    <mergeCell ref="C28:J28"/>
    <mergeCell ref="C32:E32"/>
    <mergeCell ref="K24:L25"/>
    <mergeCell ref="C31:E31"/>
    <mergeCell ref="C29:E29"/>
    <mergeCell ref="I9:L9"/>
    <mergeCell ref="I10:L10"/>
    <mergeCell ref="C30:E30"/>
    <mergeCell ref="A27:L27"/>
    <mergeCell ref="G4:G10"/>
    <mergeCell ref="H30:J30"/>
    <mergeCell ref="C16:E16"/>
    <mergeCell ref="C17:E17"/>
    <mergeCell ref="B16:B20"/>
    <mergeCell ref="B25:J25"/>
    <mergeCell ref="B54:F54"/>
    <mergeCell ref="B37:B38"/>
    <mergeCell ref="C33:E33"/>
    <mergeCell ref="C34:E34"/>
    <mergeCell ref="H20:J20"/>
    <mergeCell ref="B28:B29"/>
    <mergeCell ref="B30:B34"/>
    <mergeCell ref="H16:J16"/>
    <mergeCell ref="H17:J17"/>
    <mergeCell ref="A22:L22"/>
    <mergeCell ref="A24:A25"/>
    <mergeCell ref="C18:E18"/>
    <mergeCell ref="C64:K64"/>
    <mergeCell ref="D58:F58"/>
    <mergeCell ref="D59:F59"/>
    <mergeCell ref="D60:F60"/>
    <mergeCell ref="G53:G62"/>
    <mergeCell ref="D62:F62"/>
    <mergeCell ref="D61:F61"/>
    <mergeCell ref="H18:J18"/>
    <mergeCell ref="H19:J19"/>
    <mergeCell ref="B26:J26"/>
    <mergeCell ref="C20:E20"/>
    <mergeCell ref="B23:J23"/>
    <mergeCell ref="C19:E19"/>
    <mergeCell ref="E24:G24"/>
    <mergeCell ref="A36:L36"/>
    <mergeCell ref="H29:J29"/>
    <mergeCell ref="H33:J33"/>
    <mergeCell ref="H34:J34"/>
    <mergeCell ref="B50:K50"/>
    <mergeCell ref="A48:L48"/>
    <mergeCell ref="A53:A65"/>
    <mergeCell ref="L53:L65"/>
    <mergeCell ref="C39:E39"/>
    <mergeCell ref="C40:E40"/>
    <mergeCell ref="I45:L45"/>
    <mergeCell ref="G45:H45"/>
    <mergeCell ref="E45:F45"/>
    <mergeCell ref="C63:F63"/>
    <mergeCell ref="H53:K53"/>
    <mergeCell ref="H58:K60"/>
    <mergeCell ref="H56:K56"/>
    <mergeCell ref="J57:K57"/>
    <mergeCell ref="D57:F57"/>
    <mergeCell ref="D56:F56"/>
    <mergeCell ref="D55:F55"/>
    <mergeCell ref="H57:I57"/>
  </mergeCells>
  <conditionalFormatting sqref="H9:H10 F17 H17 F19 H19 E24 F31 H31 F33 H33 F40 H40 F42 H42 E47 E45 G47 G45 I47 I45">
    <cfRule type="cellIs" dxfId="12" priority="15" stopIfTrue="1" operator="lessThan">
      <formula>0.01</formula>
    </cfRule>
  </conditionalFormatting>
  <conditionalFormatting sqref="F18 H18 F20 H20 F32 H32 F34 H34 F41 H41 H16 H30 F43 H43">
    <cfRule type="cellIs" dxfId="11" priority="12" stopIfTrue="1" operator="lessThan">
      <formula>0.001</formula>
    </cfRule>
  </conditionalFormatting>
  <conditionalFormatting sqref="B56:B62">
    <cfRule type="cellIs" dxfId="10" priority="20" operator="notBetween">
      <formula>0.1</formula>
      <formula>10</formula>
    </cfRule>
  </conditionalFormatting>
  <conditionalFormatting sqref="B9:F11 A52 A36 A22">
    <cfRule type="containsText" dxfId="9" priority="5" operator="containsText" text="only">
      <formula>NOT(ISERROR(SEARCH("only",A9)))</formula>
    </cfRule>
  </conditionalFormatting>
  <conditionalFormatting sqref="B56">
    <cfRule type="cellIs" dxfId="8" priority="4" operator="equal">
      <formula>1</formula>
    </cfRule>
    <cfRule type="cellIs" dxfId="7" priority="26" operator="equal">
      <formula>#DIV/0!</formula>
    </cfRule>
  </conditionalFormatting>
  <conditionalFormatting sqref="H57:I57">
    <cfRule type="cellIs" dxfId="6" priority="18" operator="greaterThan">
      <formula>1000</formula>
    </cfRule>
  </conditionalFormatting>
  <conditionalFormatting sqref="E24:G24">
    <cfRule type="cellIs" dxfId="5" priority="17" operator="greaterThan">
      <formula>1000</formula>
    </cfRule>
  </conditionalFormatting>
  <conditionalFormatting sqref="H18 F18">
    <cfRule type="cellIs" dxfId="4" priority="16" operator="greaterThan">
      <formula>1000</formula>
    </cfRule>
  </conditionalFormatting>
  <conditionalFormatting sqref="H43:J43">
    <cfRule type="cellIs" dxfId="3" priority="6" operator="lessThan">
      <formula>15</formula>
    </cfRule>
  </conditionalFormatting>
  <conditionalFormatting sqref="B60">
    <cfRule type="cellIs" dxfId="2" priority="3" operator="equal">
      <formula>1</formula>
    </cfRule>
  </conditionalFormatting>
  <conditionalFormatting sqref="B61">
    <cfRule type="cellIs" dxfId="1" priority="2" operator="equal">
      <formula>1</formula>
    </cfRule>
  </conditionalFormatting>
  <conditionalFormatting sqref="F42">
    <cfRule type="cellIs" dxfId="0" priority="1" operator="equal">
      <formula>#DIV/0!</formula>
    </cfRule>
  </conditionalFormatting>
  <printOptions horizontalCentered="1" verticalCentered="1"/>
  <pageMargins left="0.55000000000000004" right="0.55000000000000004" top="0.3" bottom="0.3" header="0.16" footer="0.16"/>
  <pageSetup scale="74" orientation="portrait" r:id="rId1"/>
  <headerFooter>
    <oddHeader>&amp;CThis content was printed from the Neocate® Calculator - available to Healthcare Professionals at NutriciaLearningCenter.com</oddHeader>
    <oddFooter>&amp;CThe information provided by this tool does not constitute medical advice.</oddFooter>
  </headerFooter>
  <ignoredErrors>
    <ignoredError sqref="H33" formula="1"/>
    <ignoredError sqref="B56:B64" evalError="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ErrorMessage="1" errorTitle="Error" error="This is not a free-text field - Please use the drop-down menu." promptTitle="Product" prompt="Please use drop-down list to select an available Nutricia product." xr:uid="{00000000-0002-0000-0100-000000000000}">
          <x14:formula1>
            <xm:f>'Source info'!$B$3:$B$13</xm:f>
          </x14:formula1>
          <xm:sqref>B5:F5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sheetPr>
  <dimension ref="A1:KO58"/>
  <sheetViews>
    <sheetView zoomScale="80" zoomScaleNormal="80" workbookViewId="0">
      <pane xSplit="7" ySplit="1" topLeftCell="CA2" activePane="bottomRight" state="frozen"/>
      <selection pane="topRight" activeCell="H1" sqref="H1"/>
      <selection pane="bottomLeft" activeCell="D2" sqref="D2"/>
      <selection pane="bottomRight" activeCell="Y3" sqref="Y3"/>
    </sheetView>
  </sheetViews>
  <sheetFormatPr defaultRowHeight="14.5" outlineLevelCol="2"/>
  <cols>
    <col min="1" max="1" width="10" customWidth="1"/>
    <col min="2" max="2" width="55.1796875" hidden="1" customWidth="1" outlineLevel="1"/>
    <col min="3" max="3" width="12.7265625" hidden="1" customWidth="1" outlineLevel="1"/>
    <col min="4" max="4" width="8.7265625" collapsed="1"/>
    <col min="5" max="5" width="55.453125" bestFit="1" customWidth="1"/>
    <col min="6" max="6" width="11.453125" customWidth="1"/>
    <col min="7" max="7" width="0.1796875" customWidth="1"/>
    <col min="8" max="8" width="77.453125" hidden="1" customWidth="1" outlineLevel="1"/>
    <col min="9" max="9" width="50.81640625" hidden="1" customWidth="1" outlineLevel="1"/>
    <col min="10" max="10" width="3.453125" customWidth="1" collapsed="1"/>
    <col min="11" max="11" width="8.7265625" bestFit="1" customWidth="1"/>
    <col min="12" max="12" width="3.81640625" bestFit="1" customWidth="1"/>
    <col min="13" max="13" width="7.453125" hidden="1" customWidth="1" outlineLevel="1"/>
    <col min="14" max="14" width="8.1796875" hidden="1" customWidth="1" outlineLevel="1"/>
    <col min="15" max="15" width="5.54296875" hidden="1" customWidth="1" outlineLevel="1"/>
    <col min="16" max="16" width="7.1796875" hidden="1" customWidth="1" outlineLevel="1"/>
    <col min="17" max="17" width="8" hidden="1" customWidth="1" outlineLevel="1"/>
    <col min="18" max="18" width="13.54296875" hidden="1" customWidth="1" outlineLevel="1"/>
    <col min="19" max="19" width="17" hidden="1" customWidth="1" outlineLevel="1"/>
    <col min="20" max="20" width="6" hidden="1" customWidth="1" outlineLevel="1"/>
    <col min="21" max="21" width="5.54296875" hidden="1" customWidth="1" outlineLevel="1"/>
    <col min="22" max="22" width="14.26953125" hidden="1" customWidth="1" outlineLevel="1"/>
    <col min="23" max="23" width="16.453125" hidden="1" customWidth="1" outlineLevel="1"/>
    <col min="24" max="24" width="22.26953125" hidden="1" customWidth="1" outlineLevel="1"/>
    <col min="25" max="25" width="13" hidden="1" customWidth="1" outlineLevel="1"/>
    <col min="26" max="26" width="3.81640625" bestFit="1" customWidth="1" collapsed="1"/>
    <col min="27" max="27" width="9.81640625" hidden="1" customWidth="1" outlineLevel="1"/>
    <col min="28" max="28" width="8" hidden="1" customWidth="1" outlineLevel="1"/>
    <col min="29" max="30" width="9.81640625" hidden="1" customWidth="1" outlineLevel="1"/>
    <col min="31" max="31" width="8" hidden="1" customWidth="1" outlineLevel="1"/>
    <col min="32" max="32" width="8.1796875" hidden="1" customWidth="1" outlineLevel="1"/>
    <col min="33" max="33" width="5.1796875" hidden="1" customWidth="1" outlineLevel="1"/>
    <col min="34" max="34" width="10" hidden="1" customWidth="1" outlineLevel="1"/>
    <col min="35" max="35" width="5.1796875" hidden="1" customWidth="1" outlineLevel="1"/>
    <col min="36" max="36" width="8" hidden="1" customWidth="1" outlineLevel="1"/>
    <col min="37" max="37" width="5.1796875" hidden="1" customWidth="1" outlineLevel="1"/>
    <col min="38" max="38" width="8" hidden="1" customWidth="1" outlineLevel="1"/>
    <col min="39" max="39" width="7.7265625" hidden="1" customWidth="1" outlineLevel="1"/>
    <col min="40" max="40" width="5.1796875" hidden="1" customWidth="1" outlineLevel="1"/>
    <col min="41" max="41" width="7.7265625" hidden="1" customWidth="1" outlineLevel="1"/>
    <col min="42" max="42" width="12" hidden="1" customWidth="1" outlineLevel="1"/>
    <col min="43" max="43" width="5.1796875" hidden="1" customWidth="1" outlineLevel="1"/>
    <col min="44" max="44" width="5.81640625" hidden="1" customWidth="1" outlineLevel="1"/>
    <col min="45" max="45" width="9.54296875" hidden="1" customWidth="1" outlineLevel="1"/>
    <col min="46" max="46" width="8.7265625" hidden="1" customWidth="1" outlineLevel="1"/>
    <col min="47" max="47" width="10.81640625" hidden="1" customWidth="1" outlineLevel="1"/>
    <col min="48" max="48" width="3.81640625" bestFit="1" customWidth="1" collapsed="1"/>
    <col min="49" max="49" width="8.81640625" hidden="1" customWidth="1" outlineLevel="1"/>
    <col min="50" max="50" width="9.81640625" hidden="1" customWidth="1" outlineLevel="1"/>
    <col min="51" max="51" width="7.26953125" hidden="1" customWidth="1" outlineLevel="1"/>
    <col min="52" max="52" width="6.54296875" hidden="1" customWidth="1" outlineLevel="1"/>
    <col min="53" max="53" width="7.7265625" hidden="1" customWidth="1" outlineLevel="1"/>
    <col min="54" max="54" width="8" hidden="1" customWidth="1" outlineLevel="1"/>
    <col min="55" max="55" width="5.1796875" hidden="1" customWidth="1" outlineLevel="1"/>
    <col min="56" max="56" width="7.453125" hidden="1" customWidth="1" outlineLevel="1"/>
    <col min="57" max="57" width="7.7265625" hidden="1" customWidth="1" outlineLevel="1"/>
    <col min="58" max="58" width="8" hidden="1" customWidth="1" outlineLevel="1"/>
    <col min="59" max="59" width="7.453125" hidden="1" customWidth="1" outlineLevel="1"/>
    <col min="60" max="60" width="7.7265625" hidden="1" customWidth="1" outlineLevel="1"/>
    <col min="61" max="61" width="9.81640625" hidden="1" customWidth="1" outlineLevel="1"/>
    <col min="62" max="62" width="7.7265625" hidden="1" customWidth="1" outlineLevel="1"/>
    <col min="63" max="63" width="9.81640625" hidden="1" customWidth="1" outlineLevel="1"/>
    <col min="64" max="64" width="2.7265625" customWidth="1" collapsed="1"/>
    <col min="66" max="78" width="12.1796875" hidden="1" customWidth="1" outlineLevel="1"/>
    <col min="79" max="79" width="4.26953125" customWidth="1" collapsed="1"/>
    <col min="81" max="81" width="36.81640625" customWidth="1" outlineLevel="1"/>
    <col min="82" max="82" width="9.1796875" hidden="1" customWidth="1" outlineLevel="2"/>
    <col min="83" max="83" width="15.453125" hidden="1" customWidth="1" outlineLevel="2"/>
    <col min="84" max="135" width="9.1796875" hidden="1" customWidth="1" outlineLevel="2"/>
    <col min="136" max="136" width="9.1796875" customWidth="1" outlineLevel="1" collapsed="1"/>
    <col min="137" max="216" width="9.1796875" hidden="1" customWidth="1" outlineLevel="2"/>
    <col min="217" max="217" width="9.1796875" customWidth="1" outlineLevel="1" collapsed="1"/>
    <col min="218" max="295" width="9.1796875" hidden="1" customWidth="1" outlineLevel="2"/>
    <col min="296" max="297" width="11.54296875" hidden="1" customWidth="1" outlineLevel="2"/>
    <col min="298" max="298" width="8.81640625" customWidth="1" outlineLevel="1" collapsed="1"/>
  </cols>
  <sheetData>
    <row r="1" spans="1:301" ht="65">
      <c r="A1" s="132" t="s">
        <v>169</v>
      </c>
      <c r="B1" s="91" t="s">
        <v>170</v>
      </c>
      <c r="C1" s="131"/>
      <c r="D1" s="98" t="s">
        <v>171</v>
      </c>
      <c r="E1" s="99" t="s">
        <v>172</v>
      </c>
      <c r="F1" s="561" t="s">
        <v>173</v>
      </c>
      <c r="G1" s="561"/>
      <c r="H1" s="80"/>
      <c r="I1" s="81"/>
      <c r="J1" s="80"/>
      <c r="K1" s="100" t="s">
        <v>174</v>
      </c>
      <c r="L1" s="143" t="s">
        <v>175</v>
      </c>
      <c r="M1" s="105" t="str">
        <f>'Neocate® &amp; Pepticate™ DRI Calc'!$K$6</f>
        <v>Energy</v>
      </c>
      <c r="N1" s="77" t="str">
        <f>'Neocate® &amp; Pepticate™ DRI Calc'!$K$10</f>
        <v>Protein</v>
      </c>
      <c r="O1" s="78" t="str">
        <f>'Neocate® &amp; Pepticate™ DRI Calc'!$K$14</f>
        <v>Fat‡</v>
      </c>
      <c r="P1" s="77" t="str">
        <f>'Neocate® &amp; Pepticate™ DRI Calc'!$K$17</f>
        <v>as LCT</v>
      </c>
      <c r="Q1" s="78" t="str">
        <f>'Neocate® &amp; Pepticate™ DRI Calc'!$K$18</f>
        <v>as MCT</v>
      </c>
      <c r="R1" s="77" t="str">
        <f>'Neocate® &amp; Pepticate™ DRI Calc'!$K$15</f>
        <v>Linoleic Acid</v>
      </c>
      <c r="S1" s="78" t="str">
        <f>'Neocate® &amp; Pepticate™ DRI Calc'!$K$16</f>
        <v>α-Linolenic Acid</v>
      </c>
      <c r="T1" s="78" t="str">
        <f>'Neocate® &amp; Pepticate™ DRI Calc'!$K$19</f>
        <v>DHA</v>
      </c>
      <c r="U1" s="78" t="str">
        <f>'Neocate® &amp; Pepticate™ DRI Calc'!$K$20</f>
        <v>ARA</v>
      </c>
      <c r="V1" s="78" t="str">
        <f>'Neocate® &amp; Pepticate™ DRI Calc'!$K$12</f>
        <v>Carbohydrate</v>
      </c>
      <c r="W1" s="78" t="str">
        <f>'Neocate® &amp; Pepticate™ DRI Calc'!$K$13</f>
        <v>Prebiotic Fiber‡</v>
      </c>
      <c r="X1" s="78" t="str">
        <f>'Neocate® &amp; Pepticate™ DRI Calc'!$K$21</f>
        <v>Ash (for Canada only)</v>
      </c>
      <c r="Y1" s="78" t="str">
        <f>'Neocate® &amp; Pepticate™ DRI Calc'!$K$22</f>
        <v>Free water</v>
      </c>
      <c r="Z1" s="143" t="s">
        <v>176</v>
      </c>
      <c r="AA1" s="106" t="str">
        <f>'Neocate® &amp; Pepticate™ DRI Calc'!K30</f>
        <v>Vitamin A</v>
      </c>
      <c r="AB1" s="106" t="str">
        <f>'Neocate® &amp; Pepticate™ DRI Calc'!K31</f>
        <v>Vitamin D</v>
      </c>
      <c r="AC1" s="106" t="str">
        <f>'Neocate® &amp; Pepticate™ DRI Calc'!L31</f>
        <v>Vitamin D N/A-IU  .</v>
      </c>
      <c r="AD1" s="106" t="str">
        <f>'Neocate® &amp; Pepticate™ DRI Calc'!K33</f>
        <v>Vitamin E</v>
      </c>
      <c r="AE1" s="106" t="str">
        <f>'Neocate® &amp; Pepticate™ DRI Calc'!K34</f>
        <v>Vitamin K</v>
      </c>
      <c r="AF1" s="106" t="str">
        <f>'Neocate® &amp; Pepticate™ DRI Calc'!K35</f>
        <v>Thiamine (B1)</v>
      </c>
      <c r="AG1" s="144" t="s">
        <v>177</v>
      </c>
      <c r="AH1" s="106" t="str">
        <f>'Neocate® &amp; Pepticate™ DRI Calc'!K36</f>
        <v>Riboflavin (B2)</v>
      </c>
      <c r="AI1" s="144" t="s">
        <v>177</v>
      </c>
      <c r="AJ1" s="106" t="str">
        <f>'Neocate® &amp; Pepticate™ DRI Calc'!K37</f>
        <v>Vitamin B6</v>
      </c>
      <c r="AK1" s="144" t="s">
        <v>177</v>
      </c>
      <c r="AL1" s="106" t="str">
        <f>'Neocate® &amp; Pepticate™ DRI Calc'!K38</f>
        <v>Vitamin B12</v>
      </c>
      <c r="AM1" s="106" t="str">
        <f>'Neocate® &amp; Pepticate™ DRI Calc'!K39</f>
        <v>Niacin (B3)</v>
      </c>
      <c r="AN1" s="144" t="s">
        <v>177</v>
      </c>
      <c r="AO1" s="106" t="str">
        <f>'Neocate® &amp; Pepticate™ DRI Calc'!K40</f>
        <v>Folic Acid (B9)</v>
      </c>
      <c r="AP1" s="106" t="str">
        <f>'Neocate® &amp; Pepticate™ DRI Calc'!K41</f>
        <v>Pantothenic Acid (B5)</v>
      </c>
      <c r="AQ1" s="144" t="s">
        <v>177</v>
      </c>
      <c r="AR1" s="106" t="str">
        <f>'Neocate® &amp; Pepticate™ DRI Calc'!K42</f>
        <v>Biotin (B7)</v>
      </c>
      <c r="AS1" s="106" t="str">
        <f>'Neocate® &amp; Pepticate™ DRI Calc'!K43</f>
        <v>Vitamin C</v>
      </c>
      <c r="AT1" s="106" t="str">
        <f>'Neocate® &amp; Pepticate™ DRI Calc'!K44</f>
        <v>Choline</v>
      </c>
      <c r="AU1" s="106" t="str">
        <f>'Neocate® &amp; Pepticate™ DRI Calc'!K45</f>
        <v>Inositol</v>
      </c>
      <c r="AV1" s="143" t="s">
        <v>178</v>
      </c>
      <c r="AW1" s="105" t="str">
        <f>'Neocate® &amp; Pepticate™ DRI Calc'!K48</f>
        <v>Calcium</v>
      </c>
      <c r="AX1" s="105" t="str">
        <f>'Neocate® &amp; Pepticate™ DRI Calc'!K49</f>
        <v>Phosphorus</v>
      </c>
      <c r="AY1" s="105" t="str">
        <f>'Neocate® &amp; Pepticate™ DRI Calc'!K50</f>
        <v>Magnesium</v>
      </c>
      <c r="AZ1" s="105" t="str">
        <f>'Neocate® &amp; Pepticate™ DRI Calc'!K51</f>
        <v>Iron</v>
      </c>
      <c r="BA1" s="105" t="str">
        <f>'Neocate® &amp; Pepticate™ DRI Calc'!K52</f>
        <v>Zinc</v>
      </c>
      <c r="BB1" s="105" t="str">
        <f>'Neocate® &amp; Pepticate™ DRI Calc'!K53</f>
        <v>Manganese</v>
      </c>
      <c r="BC1" s="144" t="s">
        <v>177</v>
      </c>
      <c r="BD1" s="105" t="str">
        <f>'Neocate® &amp; Pepticate™ DRI Calc'!K54</f>
        <v>Copper</v>
      </c>
      <c r="BE1" s="105" t="str">
        <f>'Neocate® &amp; Pepticate™ DRI Calc'!K55</f>
        <v>Iodine</v>
      </c>
      <c r="BF1" s="105" t="str">
        <f>'Neocate® &amp; Pepticate™ DRI Calc'!K56</f>
        <v>Molybdenum</v>
      </c>
      <c r="BG1" s="105" t="str">
        <f>'Neocate® &amp; Pepticate™ DRI Calc'!K57</f>
        <v>Chromium</v>
      </c>
      <c r="BH1" s="105" t="str">
        <f>'Neocate® &amp; Pepticate™ DRI Calc'!K58</f>
        <v>Selenium</v>
      </c>
      <c r="BI1" s="105" t="str">
        <f>'Neocate® &amp; Pepticate™ DRI Calc'!K59</f>
        <v>Sodium</v>
      </c>
      <c r="BJ1" s="105" t="str">
        <f>'Neocate® &amp; Pepticate™ DRI Calc'!K60</f>
        <v>Potassium</v>
      </c>
      <c r="BK1" s="105" t="str">
        <f>'Neocate® &amp; Pepticate™ DRI Calc'!K61</f>
        <v>Chloride</v>
      </c>
      <c r="BL1" s="112"/>
      <c r="BM1" s="134" t="s">
        <v>179</v>
      </c>
      <c r="BN1" s="95" t="s">
        <v>180</v>
      </c>
      <c r="BO1" s="95" t="s">
        <v>181</v>
      </c>
      <c r="BP1" s="96" t="s">
        <v>182</v>
      </c>
      <c r="BQ1" s="96" t="s">
        <v>183</v>
      </c>
      <c r="BR1" s="95" t="s">
        <v>184</v>
      </c>
      <c r="BS1" s="97" t="s">
        <v>185</v>
      </c>
      <c r="BT1" s="97" t="s">
        <v>186</v>
      </c>
      <c r="BU1" s="97" t="s">
        <v>187</v>
      </c>
      <c r="BV1" s="97" t="s">
        <v>188</v>
      </c>
      <c r="BW1" s="97" t="s">
        <v>189</v>
      </c>
      <c r="BX1" s="97" t="s">
        <v>190</v>
      </c>
      <c r="BY1" s="97" t="s">
        <v>191</v>
      </c>
      <c r="BZ1" s="75"/>
      <c r="CA1" s="74"/>
      <c r="CB1" s="94" t="s">
        <v>192</v>
      </c>
      <c r="CC1" s="125" t="s">
        <v>193</v>
      </c>
      <c r="CD1" s="141" t="s">
        <v>194</v>
      </c>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4" t="s">
        <v>175</v>
      </c>
      <c r="EG1" s="94" t="s">
        <v>176</v>
      </c>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4" t="s">
        <v>176</v>
      </c>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c r="IW1" s="93"/>
      <c r="IX1" s="93"/>
      <c r="IY1" s="93"/>
      <c r="IZ1" s="93"/>
      <c r="JA1" s="93"/>
      <c r="JB1" s="93"/>
      <c r="JC1" s="93"/>
      <c r="JD1" s="93"/>
      <c r="JE1" s="93"/>
      <c r="JF1" s="93"/>
      <c r="JG1" s="93"/>
      <c r="JH1" s="93"/>
      <c r="JI1" s="93"/>
      <c r="JJ1" s="93"/>
      <c r="JK1" s="93"/>
      <c r="JL1" s="93"/>
      <c r="JM1" s="93"/>
      <c r="JN1" s="93"/>
      <c r="JO1" s="93"/>
      <c r="JP1" s="93"/>
      <c r="JQ1" s="93"/>
      <c r="JR1" s="93"/>
      <c r="JS1" s="93"/>
      <c r="JT1" s="93"/>
      <c r="JU1" s="93"/>
      <c r="JV1" s="93"/>
      <c r="JW1" s="93"/>
      <c r="JX1" s="93"/>
      <c r="JY1" s="93"/>
      <c r="JZ1" s="93"/>
      <c r="KA1" s="93"/>
      <c r="KB1" s="93"/>
      <c r="KC1" s="93"/>
      <c r="KD1" s="93"/>
      <c r="KE1" s="93"/>
      <c r="KF1" s="93"/>
      <c r="KG1" s="93"/>
      <c r="KH1" s="93"/>
      <c r="KI1" s="93"/>
      <c r="KJ1" s="93"/>
      <c r="KK1" s="93"/>
      <c r="KL1" s="94" t="s">
        <v>178</v>
      </c>
      <c r="KM1" s="118" t="s">
        <v>195</v>
      </c>
      <c r="KN1" s="560" t="s">
        <v>196</v>
      </c>
      <c r="KO1" s="560"/>
    </row>
    <row r="2" spans="1:301" ht="21.65" customHeight="1">
      <c r="A2" s="132"/>
      <c r="B2" s="91"/>
      <c r="C2" s="131"/>
      <c r="D2" s="98"/>
      <c r="E2" s="99"/>
      <c r="F2" s="140"/>
      <c r="G2" s="140"/>
      <c r="H2" s="80"/>
      <c r="I2" s="81"/>
      <c r="J2" s="80"/>
      <c r="K2" s="100"/>
      <c r="L2" s="143"/>
      <c r="M2" s="105"/>
      <c r="N2" s="77"/>
      <c r="O2" s="78"/>
      <c r="P2" s="77"/>
      <c r="Q2" s="78"/>
      <c r="R2" s="77"/>
      <c r="S2" s="78"/>
      <c r="T2" s="78"/>
      <c r="U2" s="78"/>
      <c r="V2" s="78"/>
      <c r="W2" s="78"/>
      <c r="X2" s="78"/>
      <c r="Y2" s="78"/>
      <c r="Z2" s="143"/>
      <c r="AA2" s="106" t="s">
        <v>57</v>
      </c>
      <c r="AB2" s="106"/>
      <c r="AC2" s="106"/>
      <c r="AD2" s="106" t="s">
        <v>197</v>
      </c>
      <c r="AE2" s="106" t="s">
        <v>56</v>
      </c>
      <c r="AF2" s="106"/>
      <c r="AG2" s="106"/>
      <c r="AH2" s="106"/>
      <c r="AI2" s="106"/>
      <c r="AJ2" s="106"/>
      <c r="AK2" s="106"/>
      <c r="AL2" s="106" t="s">
        <v>56</v>
      </c>
      <c r="AM2" s="106"/>
      <c r="AN2" s="106"/>
      <c r="AO2" s="106" t="s">
        <v>56</v>
      </c>
      <c r="AP2" s="106"/>
      <c r="AQ2" s="106"/>
      <c r="AR2" s="106" t="s">
        <v>56</v>
      </c>
      <c r="AS2" s="106" t="s">
        <v>45</v>
      </c>
      <c r="AT2" s="106" t="s">
        <v>45</v>
      </c>
      <c r="AU2" s="106" t="s">
        <v>45</v>
      </c>
      <c r="AV2" s="105"/>
      <c r="AW2" s="105" t="s">
        <v>45</v>
      </c>
      <c r="AX2" s="105" t="s">
        <v>45</v>
      </c>
      <c r="AY2" s="105" t="s">
        <v>45</v>
      </c>
      <c r="AZ2" s="105" t="s">
        <v>45</v>
      </c>
      <c r="BA2" s="105" t="s">
        <v>45</v>
      </c>
      <c r="BB2" s="105"/>
      <c r="BC2" s="105"/>
      <c r="BD2" s="105" t="s">
        <v>56</v>
      </c>
      <c r="BE2" s="105" t="s">
        <v>56</v>
      </c>
      <c r="BF2" s="105" t="s">
        <v>56</v>
      </c>
      <c r="BG2" s="105" t="s">
        <v>56</v>
      </c>
      <c r="BH2" s="105" t="s">
        <v>56</v>
      </c>
      <c r="BI2" s="105" t="s">
        <v>45</v>
      </c>
      <c r="BJ2" s="105" t="s">
        <v>45</v>
      </c>
      <c r="BK2" s="105" t="s">
        <v>45</v>
      </c>
      <c r="BL2" s="112"/>
      <c r="BM2" s="134"/>
      <c r="BN2" s="95"/>
      <c r="BO2" s="95"/>
      <c r="BP2" s="96"/>
      <c r="BQ2" s="96"/>
      <c r="BR2" s="95"/>
      <c r="BS2" s="97"/>
      <c r="BT2" s="97"/>
      <c r="BU2" s="97"/>
      <c r="BV2" s="97"/>
      <c r="BW2" s="97"/>
      <c r="BX2" s="97"/>
      <c r="BY2" s="97"/>
      <c r="BZ2" s="75"/>
      <c r="CA2" s="74"/>
      <c r="CB2" s="94"/>
      <c r="CC2" s="125"/>
      <c r="CD2" s="141"/>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4"/>
      <c r="EG2" s="94"/>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4"/>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c r="IY2" s="93"/>
      <c r="IZ2" s="93"/>
      <c r="JA2" s="93"/>
      <c r="JB2" s="93"/>
      <c r="JC2" s="93"/>
      <c r="JD2" s="93"/>
      <c r="JE2" s="93"/>
      <c r="JF2" s="93"/>
      <c r="JG2" s="93"/>
      <c r="JH2" s="93"/>
      <c r="JI2" s="93"/>
      <c r="JJ2" s="93"/>
      <c r="JK2" s="93"/>
      <c r="JL2" s="93"/>
      <c r="JM2" s="93"/>
      <c r="JN2" s="93"/>
      <c r="JO2" s="93"/>
      <c r="JP2" s="93"/>
      <c r="JQ2" s="93"/>
      <c r="JR2" s="93"/>
      <c r="JS2" s="93"/>
      <c r="JT2" s="93"/>
      <c r="JU2" s="93"/>
      <c r="JV2" s="93"/>
      <c r="JW2" s="93"/>
      <c r="JX2" s="93"/>
      <c r="JY2" s="93"/>
      <c r="JZ2" s="93"/>
      <c r="KA2" s="93"/>
      <c r="KB2" s="93"/>
      <c r="KC2" s="93"/>
      <c r="KD2" s="93"/>
      <c r="KE2" s="93"/>
      <c r="KF2" s="93"/>
      <c r="KG2" s="93"/>
      <c r="KH2" s="93"/>
      <c r="KI2" s="93"/>
      <c r="KJ2" s="93"/>
      <c r="KK2" s="93"/>
      <c r="KL2" s="94"/>
      <c r="KM2" s="118"/>
      <c r="KN2" s="117"/>
      <c r="KO2" s="117"/>
    </row>
    <row r="3" spans="1:301" ht="80.25" customHeight="1">
      <c r="A3" s="92"/>
      <c r="B3" s="110" t="s">
        <v>198</v>
      </c>
      <c r="C3" s="131"/>
      <c r="D3" s="80"/>
      <c r="E3" s="115" t="str">
        <f>$B$4</f>
        <v>Neocate Infant DHA/ARA</v>
      </c>
      <c r="F3" s="72"/>
      <c r="G3" s="72"/>
      <c r="H3" s="107" t="s">
        <v>199</v>
      </c>
      <c r="I3" s="2" t="s">
        <v>200</v>
      </c>
      <c r="J3" s="80"/>
      <c r="K3" s="101"/>
      <c r="L3" s="76"/>
      <c r="M3" s="28">
        <v>483</v>
      </c>
      <c r="N3" s="1">
        <v>13.5</v>
      </c>
      <c r="O3" s="36">
        <v>24.5</v>
      </c>
      <c r="P3" s="23">
        <v>0.66</v>
      </c>
      <c r="Q3" s="23">
        <v>0.34</v>
      </c>
      <c r="R3" s="1">
        <v>3.5649999999999999</v>
      </c>
      <c r="S3" s="1">
        <v>0.4194</v>
      </c>
      <c r="T3" s="1">
        <v>69.3</v>
      </c>
      <c r="U3" s="1">
        <v>69.3</v>
      </c>
      <c r="V3" s="59">
        <v>52</v>
      </c>
      <c r="W3" s="36">
        <v>0</v>
      </c>
      <c r="X3" s="1">
        <v>3.34</v>
      </c>
      <c r="Y3" s="1">
        <v>654.5</v>
      </c>
      <c r="Z3" s="76"/>
      <c r="AA3" s="1">
        <v>406</v>
      </c>
      <c r="AB3" s="1">
        <v>8.8000000000000007</v>
      </c>
      <c r="AC3" s="1">
        <v>352</v>
      </c>
      <c r="AD3" s="1">
        <v>4.5999999999999996</v>
      </c>
      <c r="AE3" s="1">
        <v>42.5</v>
      </c>
      <c r="AF3" s="1">
        <v>540</v>
      </c>
      <c r="AG3" s="27" t="s">
        <v>56</v>
      </c>
      <c r="AH3" s="1">
        <v>540</v>
      </c>
      <c r="AI3" s="27" t="s">
        <v>56</v>
      </c>
      <c r="AJ3" s="1">
        <v>540</v>
      </c>
      <c r="AK3" s="27" t="s">
        <v>56</v>
      </c>
      <c r="AL3" s="1">
        <v>1.3</v>
      </c>
      <c r="AM3" s="1">
        <v>4900</v>
      </c>
      <c r="AN3" s="27" t="s">
        <v>56</v>
      </c>
      <c r="AO3" s="1">
        <v>64</v>
      </c>
      <c r="AP3" s="1">
        <v>2900</v>
      </c>
      <c r="AQ3" s="27" t="s">
        <v>56</v>
      </c>
      <c r="AR3" s="24">
        <v>19</v>
      </c>
      <c r="AS3" s="1">
        <v>51.55</v>
      </c>
      <c r="AT3" s="1">
        <v>95.4</v>
      </c>
      <c r="AU3" s="27">
        <v>108</v>
      </c>
      <c r="AV3" s="76"/>
      <c r="AW3" s="1">
        <v>561</v>
      </c>
      <c r="AX3" s="1">
        <v>397</v>
      </c>
      <c r="AY3" s="24">
        <v>51.1</v>
      </c>
      <c r="AZ3" s="1">
        <v>7.3</v>
      </c>
      <c r="BA3" s="24">
        <v>5.2985800000000003</v>
      </c>
      <c r="BB3" s="1">
        <v>200</v>
      </c>
      <c r="BC3" s="1" t="s">
        <v>56</v>
      </c>
      <c r="BD3" s="1">
        <v>410</v>
      </c>
      <c r="BE3" s="1">
        <v>100</v>
      </c>
      <c r="BF3" s="1">
        <v>11.3</v>
      </c>
      <c r="BG3" s="1">
        <v>10.6</v>
      </c>
      <c r="BH3" s="1">
        <v>14.5</v>
      </c>
      <c r="BI3" s="1">
        <v>189</v>
      </c>
      <c r="BJ3" s="1">
        <v>524.5</v>
      </c>
      <c r="BK3" s="1">
        <v>386</v>
      </c>
      <c r="BL3" s="76"/>
      <c r="BM3" s="103"/>
      <c r="BN3" s="84">
        <v>4.83</v>
      </c>
      <c r="BO3" s="84">
        <v>0.7</v>
      </c>
      <c r="BP3" s="82">
        <v>4.5999999999999996</v>
      </c>
      <c r="BQ3" s="82">
        <v>4.5999999999999996</v>
      </c>
      <c r="BR3" s="82">
        <v>1932</v>
      </c>
      <c r="BS3" s="83">
        <v>126</v>
      </c>
      <c r="BT3" s="83">
        <v>63</v>
      </c>
      <c r="BU3" s="83">
        <v>42</v>
      </c>
      <c r="BV3" s="83">
        <v>31.5</v>
      </c>
      <c r="BW3" s="83">
        <v>7.9</v>
      </c>
      <c r="BX3" s="83">
        <v>2.6</v>
      </c>
      <c r="BY3" s="83">
        <v>1.3</v>
      </c>
      <c r="BZ3" s="86"/>
      <c r="CA3" s="104"/>
      <c r="CB3" s="93"/>
      <c r="CC3" s="125"/>
      <c r="CD3" s="133" t="s">
        <v>201</v>
      </c>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c r="IV3" s="93"/>
      <c r="IW3" s="93"/>
      <c r="IX3" s="93"/>
      <c r="IY3" s="93"/>
      <c r="IZ3" s="93"/>
      <c r="JA3" s="93"/>
      <c r="JB3" s="93"/>
      <c r="JC3" s="93"/>
      <c r="JD3" s="93"/>
      <c r="JE3" s="93"/>
      <c r="JF3" s="93"/>
      <c r="JG3" s="93"/>
      <c r="JH3" s="93"/>
      <c r="JI3" s="93"/>
      <c r="JJ3" s="93"/>
      <c r="JK3" s="93"/>
      <c r="JL3" s="93"/>
      <c r="JM3" s="93"/>
      <c r="JN3" s="93"/>
      <c r="JO3" s="93"/>
      <c r="JP3" s="93"/>
      <c r="JQ3" s="93"/>
      <c r="JR3" s="93"/>
      <c r="JS3" s="93"/>
      <c r="JT3" s="93"/>
      <c r="JU3" s="93"/>
      <c r="JV3" s="93"/>
      <c r="JW3" s="93"/>
      <c r="JX3" s="93"/>
      <c r="JY3" s="93"/>
      <c r="JZ3" s="93"/>
      <c r="KA3" s="93"/>
      <c r="KB3" s="93"/>
      <c r="KC3" s="93"/>
      <c r="KD3" s="93"/>
      <c r="KE3" s="93"/>
      <c r="KF3" s="93"/>
      <c r="KG3" s="93"/>
      <c r="KH3" s="93"/>
      <c r="KI3" s="93"/>
      <c r="KJ3" s="93"/>
      <c r="KK3" s="93"/>
      <c r="KL3" s="93"/>
      <c r="KM3" s="93"/>
      <c r="KN3" s="117"/>
      <c r="KO3" s="117"/>
    </row>
    <row r="4" spans="1:301" ht="80.25" customHeight="1">
      <c r="A4" s="92"/>
      <c r="B4" t="s">
        <v>202</v>
      </c>
      <c r="C4" s="131"/>
      <c r="D4" s="80"/>
      <c r="E4" s="90" t="str">
        <f>$B$10</f>
        <v>Neocate® Junior, Chocolate</v>
      </c>
      <c r="F4" s="73"/>
      <c r="G4" s="72"/>
      <c r="H4" s="107" t="s">
        <v>203</v>
      </c>
      <c r="I4" s="2" t="s">
        <v>204</v>
      </c>
      <c r="J4" s="80"/>
      <c r="K4" s="101"/>
      <c r="L4" s="76"/>
      <c r="M4" s="1">
        <v>460</v>
      </c>
      <c r="N4" s="24">
        <v>14.2</v>
      </c>
      <c r="O4" s="24">
        <v>22</v>
      </c>
      <c r="P4" s="23">
        <v>0.65</v>
      </c>
      <c r="Q4" s="23">
        <v>0.35</v>
      </c>
      <c r="R4" s="25">
        <v>3.59</v>
      </c>
      <c r="S4" s="1">
        <v>0.35899999999999999</v>
      </c>
      <c r="T4" s="1">
        <v>0</v>
      </c>
      <c r="U4" s="1">
        <v>0</v>
      </c>
      <c r="V4" s="1">
        <v>51.4</v>
      </c>
      <c r="W4" s="1">
        <v>1.9</v>
      </c>
      <c r="X4" s="1"/>
      <c r="Y4" s="1">
        <v>390.00000599999998</v>
      </c>
      <c r="Z4" s="76"/>
      <c r="AA4" s="1">
        <v>287</v>
      </c>
      <c r="AB4" s="1">
        <v>9.5</v>
      </c>
      <c r="AC4" s="1">
        <v>380</v>
      </c>
      <c r="AD4" s="24">
        <v>6.7</v>
      </c>
      <c r="AE4" s="1">
        <v>19.2</v>
      </c>
      <c r="AF4" s="1">
        <v>0.48</v>
      </c>
      <c r="AG4" s="27" t="s">
        <v>45</v>
      </c>
      <c r="AH4" s="1">
        <v>0.96</v>
      </c>
      <c r="AI4" s="27" t="s">
        <v>45</v>
      </c>
      <c r="AJ4" s="1">
        <v>0.48</v>
      </c>
      <c r="AK4" s="1" t="s">
        <v>45</v>
      </c>
      <c r="AL4" s="1">
        <v>1.9</v>
      </c>
      <c r="AM4" s="1">
        <v>4.3</v>
      </c>
      <c r="AN4" s="1" t="s">
        <v>45</v>
      </c>
      <c r="AO4" s="1">
        <v>143</v>
      </c>
      <c r="AP4" s="1">
        <v>1.9</v>
      </c>
      <c r="AQ4" s="1" t="s">
        <v>45</v>
      </c>
      <c r="AR4" s="1">
        <v>14.4</v>
      </c>
      <c r="AS4" s="1">
        <v>44.6</v>
      </c>
      <c r="AT4" s="1">
        <v>143</v>
      </c>
      <c r="AU4" s="1">
        <v>105</v>
      </c>
      <c r="AV4" s="76"/>
      <c r="AW4" s="1">
        <v>565</v>
      </c>
      <c r="AX4" s="1">
        <v>382</v>
      </c>
      <c r="AY4" s="1">
        <v>76.5</v>
      </c>
      <c r="AZ4" s="1">
        <v>7.4</v>
      </c>
      <c r="BA4" s="1">
        <v>4.7</v>
      </c>
      <c r="BB4" s="1">
        <v>0.62</v>
      </c>
      <c r="BC4" s="1" t="s">
        <v>45</v>
      </c>
      <c r="BD4" s="1">
        <v>530</v>
      </c>
      <c r="BE4" s="1">
        <v>85.2</v>
      </c>
      <c r="BF4" s="1">
        <v>21.5</v>
      </c>
      <c r="BG4" s="1">
        <v>18</v>
      </c>
      <c r="BH4" s="1">
        <v>19.2</v>
      </c>
      <c r="BI4" s="1">
        <v>239</v>
      </c>
      <c r="BJ4" s="1">
        <v>653</v>
      </c>
      <c r="BK4" s="1">
        <v>364</v>
      </c>
      <c r="BL4" s="76"/>
      <c r="BM4" s="103"/>
      <c r="BN4" s="84">
        <v>4.5999999999999996</v>
      </c>
      <c r="BO4" s="84">
        <v>0.7</v>
      </c>
      <c r="BP4" s="82">
        <v>7.5</v>
      </c>
      <c r="BQ4" s="82">
        <v>7.5</v>
      </c>
      <c r="BR4" s="82">
        <v>1840</v>
      </c>
      <c r="BS4" s="83">
        <v>125</v>
      </c>
      <c r="BT4" s="83">
        <f>BS4/2</f>
        <v>62.5</v>
      </c>
      <c r="BU4" s="83">
        <f>BS4/3</f>
        <v>41.666666666666664</v>
      </c>
      <c r="BV4" s="83">
        <f>BT4/2</f>
        <v>31.25</v>
      </c>
      <c r="BW4" s="83">
        <f>BV4/4</f>
        <v>7.8125</v>
      </c>
      <c r="BX4" s="83">
        <f>BW4/3</f>
        <v>2.6041666666666665</v>
      </c>
      <c r="BY4" s="83">
        <f>BX4/2</f>
        <v>1.3020833333333333</v>
      </c>
      <c r="BZ4" s="86"/>
      <c r="CA4" s="104"/>
      <c r="CB4" s="93"/>
      <c r="CC4" s="125"/>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93"/>
      <c r="FA4" s="93"/>
      <c r="FB4" s="93"/>
      <c r="FC4" s="93"/>
      <c r="FD4" s="93"/>
      <c r="FE4" s="93"/>
      <c r="FF4" s="93"/>
      <c r="FG4" s="93"/>
      <c r="FH4" s="93"/>
      <c r="FI4" s="93"/>
      <c r="FJ4" s="93"/>
      <c r="FK4" s="93"/>
      <c r="FL4" s="93"/>
      <c r="FM4" s="93"/>
      <c r="FN4" s="93"/>
      <c r="FO4" s="93"/>
      <c r="FP4" s="93"/>
      <c r="FQ4" s="93"/>
      <c r="FR4" s="93"/>
      <c r="FS4" s="93"/>
      <c r="FT4" s="93"/>
      <c r="FU4" s="93"/>
      <c r="FV4" s="93"/>
      <c r="FW4" s="93"/>
      <c r="FX4" s="93"/>
      <c r="FY4" s="93"/>
      <c r="FZ4" s="93"/>
      <c r="GA4" s="93"/>
      <c r="GB4" s="93"/>
      <c r="GC4" s="93"/>
      <c r="GD4" s="93"/>
      <c r="GE4" s="93"/>
      <c r="GF4" s="93"/>
      <c r="GG4" s="93"/>
      <c r="GH4" s="93"/>
      <c r="GI4" s="93"/>
      <c r="GJ4" s="93"/>
      <c r="GK4" s="93"/>
      <c r="GL4" s="93"/>
      <c r="GM4" s="93"/>
      <c r="GN4" s="93"/>
      <c r="GO4" s="93"/>
      <c r="GP4" s="93"/>
      <c r="GQ4" s="93"/>
      <c r="GR4" s="93"/>
      <c r="GS4" s="93"/>
      <c r="GT4" s="93"/>
      <c r="GU4" s="93"/>
      <c r="GV4" s="93"/>
      <c r="GW4" s="93"/>
      <c r="GX4" s="93"/>
      <c r="GY4" s="93"/>
      <c r="GZ4" s="93"/>
      <c r="HA4" s="93"/>
      <c r="HB4" s="93"/>
      <c r="HC4" s="93"/>
      <c r="HD4" s="93"/>
      <c r="HE4" s="93"/>
      <c r="HF4" s="93"/>
      <c r="HG4" s="93"/>
      <c r="HH4" s="93"/>
      <c r="HI4" s="93"/>
      <c r="HJ4" s="93"/>
      <c r="HK4" s="93"/>
      <c r="HL4" s="93"/>
      <c r="HM4" s="93"/>
      <c r="HN4" s="93"/>
      <c r="HO4" s="93"/>
      <c r="HP4" s="93"/>
      <c r="HQ4" s="93"/>
      <c r="HR4" s="93"/>
      <c r="HS4" s="93"/>
      <c r="HT4" s="93"/>
      <c r="HU4" s="93"/>
      <c r="HV4" s="93"/>
      <c r="HW4" s="93"/>
      <c r="HX4" s="93"/>
      <c r="HY4" s="93"/>
      <c r="HZ4" s="93"/>
      <c r="IA4" s="93"/>
      <c r="IB4" s="93"/>
      <c r="IC4" s="93"/>
      <c r="ID4" s="93"/>
      <c r="IE4" s="93"/>
      <c r="IF4" s="93"/>
      <c r="IG4" s="93"/>
      <c r="IH4" s="93"/>
      <c r="II4" s="93"/>
      <c r="IJ4" s="93"/>
      <c r="IK4" s="93"/>
      <c r="IL4" s="93"/>
      <c r="IM4" s="93"/>
      <c r="IN4" s="93"/>
      <c r="IO4" s="93"/>
      <c r="IP4" s="93"/>
      <c r="IQ4" s="93"/>
      <c r="IR4" s="93"/>
      <c r="IS4" s="93"/>
      <c r="IT4" s="93"/>
      <c r="IU4" s="93"/>
      <c r="IV4" s="93"/>
      <c r="IW4" s="93"/>
      <c r="IX4" s="93"/>
      <c r="IY4" s="93"/>
      <c r="IZ4" s="93"/>
      <c r="JA4" s="93"/>
      <c r="JB4" s="93"/>
      <c r="JC4" s="93"/>
      <c r="JD4" s="93"/>
      <c r="JE4" s="93"/>
      <c r="JF4" s="93"/>
      <c r="JG4" s="93"/>
      <c r="JH4" s="93"/>
      <c r="JI4" s="93"/>
      <c r="JJ4" s="93"/>
      <c r="JK4" s="93"/>
      <c r="JL4" s="93"/>
      <c r="JM4" s="93"/>
      <c r="JN4" s="93"/>
      <c r="JO4" s="93"/>
      <c r="JP4" s="93"/>
      <c r="JQ4" s="93"/>
      <c r="JR4" s="93"/>
      <c r="JS4" s="93"/>
      <c r="JT4" s="93"/>
      <c r="JU4" s="93"/>
      <c r="JV4" s="93"/>
      <c r="JW4" s="93"/>
      <c r="JX4" s="93"/>
      <c r="JY4" s="93"/>
      <c r="JZ4" s="93"/>
      <c r="KA4" s="93"/>
      <c r="KB4" s="93"/>
      <c r="KC4" s="93"/>
      <c r="KD4" s="93"/>
      <c r="KE4" s="93"/>
      <c r="KF4" s="93"/>
      <c r="KG4" s="93"/>
      <c r="KH4" s="93"/>
      <c r="KI4" s="93"/>
      <c r="KJ4" s="93"/>
      <c r="KK4" s="93"/>
      <c r="KL4" s="93"/>
      <c r="KM4" s="93"/>
      <c r="KN4" s="117"/>
      <c r="KO4" s="117"/>
    </row>
    <row r="5" spans="1:301" ht="80.25" customHeight="1">
      <c r="A5" s="92"/>
      <c r="B5" s="110" t="s">
        <v>205</v>
      </c>
      <c r="C5" s="131"/>
      <c r="D5" s="80"/>
      <c r="E5" s="90" t="str">
        <f>$B$12</f>
        <v>Neocate® Junior, Tropical (discontinued)</v>
      </c>
      <c r="F5" s="111"/>
      <c r="G5" s="72"/>
      <c r="H5" s="107" t="s">
        <v>203</v>
      </c>
      <c r="I5" s="2" t="s">
        <v>206</v>
      </c>
      <c r="J5" s="80"/>
      <c r="K5" s="101"/>
      <c r="L5" s="76"/>
      <c r="M5" s="1">
        <v>451</v>
      </c>
      <c r="N5" s="24">
        <v>14.2</v>
      </c>
      <c r="O5" s="24">
        <v>21</v>
      </c>
      <c r="P5" s="23">
        <v>0.65</v>
      </c>
      <c r="Q5" s="23">
        <v>0.35</v>
      </c>
      <c r="R5" s="1">
        <v>3.42</v>
      </c>
      <c r="S5" s="1">
        <v>0.34200000000000003</v>
      </c>
      <c r="T5" s="1">
        <v>0</v>
      </c>
      <c r="U5" s="1">
        <v>0</v>
      </c>
      <c r="V5" s="1">
        <v>51.4</v>
      </c>
      <c r="W5" s="1">
        <v>1.9</v>
      </c>
      <c r="X5" s="1"/>
      <c r="Y5" s="1">
        <v>382.65834640000003</v>
      </c>
      <c r="Z5" s="76"/>
      <c r="AA5" s="1">
        <v>287</v>
      </c>
      <c r="AB5" s="1">
        <v>9.5</v>
      </c>
      <c r="AC5" s="1">
        <v>380</v>
      </c>
      <c r="AD5" s="24">
        <v>6.7</v>
      </c>
      <c r="AE5" s="1">
        <v>19.2</v>
      </c>
      <c r="AF5" s="1">
        <v>0.48</v>
      </c>
      <c r="AG5" s="27" t="s">
        <v>45</v>
      </c>
      <c r="AH5" s="1">
        <v>0.96</v>
      </c>
      <c r="AI5" s="27" t="s">
        <v>45</v>
      </c>
      <c r="AJ5" s="1">
        <v>0.48</v>
      </c>
      <c r="AK5" s="1" t="s">
        <v>45</v>
      </c>
      <c r="AL5" s="1">
        <v>1.9</v>
      </c>
      <c r="AM5" s="1">
        <v>4.3</v>
      </c>
      <c r="AN5" s="1" t="s">
        <v>45</v>
      </c>
      <c r="AO5" s="1">
        <v>143</v>
      </c>
      <c r="AP5" s="1">
        <v>1.9</v>
      </c>
      <c r="AQ5" s="1" t="s">
        <v>45</v>
      </c>
      <c r="AR5" s="1">
        <v>14.4</v>
      </c>
      <c r="AS5" s="1">
        <v>44.6</v>
      </c>
      <c r="AT5" s="1">
        <v>143</v>
      </c>
      <c r="AU5" s="1">
        <v>105</v>
      </c>
      <c r="AV5" s="76"/>
      <c r="AW5" s="1">
        <v>565</v>
      </c>
      <c r="AX5" s="1">
        <v>382</v>
      </c>
      <c r="AY5" s="1">
        <v>76.5</v>
      </c>
      <c r="AZ5" s="1">
        <v>7.4</v>
      </c>
      <c r="BA5" s="1">
        <v>4.7</v>
      </c>
      <c r="BB5" s="1">
        <v>0.62</v>
      </c>
      <c r="BC5" s="1" t="s">
        <v>45</v>
      </c>
      <c r="BD5" s="1">
        <v>530</v>
      </c>
      <c r="BE5" s="1">
        <v>85.2</v>
      </c>
      <c r="BF5" s="1">
        <v>21.5</v>
      </c>
      <c r="BG5" s="1">
        <v>18</v>
      </c>
      <c r="BH5" s="1">
        <v>19.2</v>
      </c>
      <c r="BI5" s="1">
        <v>239</v>
      </c>
      <c r="BJ5" s="1">
        <v>653</v>
      </c>
      <c r="BK5" s="1">
        <v>364</v>
      </c>
      <c r="BL5" s="76"/>
      <c r="BM5" s="103"/>
      <c r="BN5" s="84">
        <v>4.51</v>
      </c>
      <c r="BO5" s="84">
        <v>0.69499999999999995</v>
      </c>
      <c r="BP5" s="82">
        <v>7.3</v>
      </c>
      <c r="BQ5" s="82">
        <v>7.3</v>
      </c>
      <c r="BR5" s="82">
        <v>1804</v>
      </c>
      <c r="BS5" s="83">
        <v>121</v>
      </c>
      <c r="BT5" s="83">
        <f>BS5/2</f>
        <v>60.5</v>
      </c>
      <c r="BU5" s="83">
        <f>BS5/3</f>
        <v>40.333333333333336</v>
      </c>
      <c r="BV5" s="83">
        <f>BT5/2</f>
        <v>30.25</v>
      </c>
      <c r="BW5" s="83">
        <f>BV5/4</f>
        <v>7.5625</v>
      </c>
      <c r="BX5" s="83">
        <f>BW5/3</f>
        <v>2.5208333333333335</v>
      </c>
      <c r="BY5" s="83">
        <f>BX5/2</f>
        <v>1.2604166666666667</v>
      </c>
      <c r="BZ5" s="86"/>
      <c r="CA5" s="104"/>
      <c r="CB5" s="93"/>
      <c r="CC5" s="125"/>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c r="HV5" s="93"/>
      <c r="HW5" s="93"/>
      <c r="HX5" s="93"/>
      <c r="HY5" s="93"/>
      <c r="HZ5" s="93"/>
      <c r="IA5" s="93"/>
      <c r="IB5" s="93"/>
      <c r="IC5" s="93"/>
      <c r="ID5" s="93"/>
      <c r="IE5" s="93"/>
      <c r="IF5" s="93"/>
      <c r="IG5" s="93"/>
      <c r="IH5" s="93"/>
      <c r="II5" s="93"/>
      <c r="IJ5" s="93"/>
      <c r="IK5" s="93"/>
      <c r="IL5" s="93"/>
      <c r="IM5" s="93"/>
      <c r="IN5" s="93"/>
      <c r="IO5" s="93"/>
      <c r="IP5" s="93"/>
      <c r="IQ5" s="93"/>
      <c r="IR5" s="93"/>
      <c r="IS5" s="93"/>
      <c r="IT5" s="93"/>
      <c r="IU5" s="93"/>
      <c r="IV5" s="93"/>
      <c r="IW5" s="93"/>
      <c r="IX5" s="93"/>
      <c r="IY5" s="93"/>
      <c r="IZ5" s="93"/>
      <c r="JA5" s="93"/>
      <c r="JB5" s="93"/>
      <c r="JC5" s="93"/>
      <c r="JD5" s="93"/>
      <c r="JE5" s="93"/>
      <c r="JF5" s="93"/>
      <c r="JG5" s="93"/>
      <c r="JH5" s="93"/>
      <c r="JI5" s="93"/>
      <c r="JJ5" s="93"/>
      <c r="JK5" s="93"/>
      <c r="JL5" s="93"/>
      <c r="JM5" s="93"/>
      <c r="JN5" s="93"/>
      <c r="JO5" s="93"/>
      <c r="JP5" s="93"/>
      <c r="JQ5" s="93"/>
      <c r="JR5" s="93"/>
      <c r="JS5" s="93"/>
      <c r="JT5" s="93"/>
      <c r="JU5" s="93"/>
      <c r="JV5" s="93"/>
      <c r="JW5" s="93"/>
      <c r="JX5" s="93"/>
      <c r="JY5" s="93"/>
      <c r="JZ5" s="93"/>
      <c r="KA5" s="93"/>
      <c r="KB5" s="93"/>
      <c r="KC5" s="93"/>
      <c r="KD5" s="93"/>
      <c r="KE5" s="93"/>
      <c r="KF5" s="93"/>
      <c r="KG5" s="93"/>
      <c r="KH5" s="93"/>
      <c r="KI5" s="93"/>
      <c r="KJ5" s="93"/>
      <c r="KK5" s="93"/>
      <c r="KL5" s="93"/>
      <c r="KM5" s="93"/>
      <c r="KN5" s="117"/>
      <c r="KO5" s="117"/>
    </row>
    <row r="6" spans="1:301" ht="80.25" customHeight="1">
      <c r="A6" s="92"/>
      <c r="B6" s="109" t="s">
        <v>20</v>
      </c>
      <c r="C6" s="131"/>
      <c r="D6" s="80"/>
      <c r="E6" s="23" t="str">
        <f>$B$11</f>
        <v>Neocate® Junior, Unflavored (without fiber)</v>
      </c>
      <c r="F6" s="72"/>
      <c r="G6" s="72"/>
      <c r="H6" s="107" t="s">
        <v>207</v>
      </c>
      <c r="I6" s="2" t="s">
        <v>208</v>
      </c>
      <c r="J6" s="80"/>
      <c r="K6" s="101"/>
      <c r="L6" s="76"/>
      <c r="M6" s="1">
        <v>479</v>
      </c>
      <c r="N6" s="24">
        <v>14.8</v>
      </c>
      <c r="O6" s="24">
        <v>24</v>
      </c>
      <c r="P6" s="23">
        <v>0.65</v>
      </c>
      <c r="Q6" s="23">
        <v>0.35</v>
      </c>
      <c r="R6" s="1">
        <v>3.9119999999999999</v>
      </c>
      <c r="S6" s="1">
        <v>0.39119999999999999</v>
      </c>
      <c r="T6" s="1">
        <v>0</v>
      </c>
      <c r="U6" s="1">
        <v>0</v>
      </c>
      <c r="V6" s="1">
        <v>51.013500000000001</v>
      </c>
      <c r="W6" s="1">
        <v>0</v>
      </c>
      <c r="X6" s="1"/>
      <c r="Y6" s="1">
        <v>410</v>
      </c>
      <c r="Z6" s="76"/>
      <c r="AA6" s="1">
        <v>287.16050000000001</v>
      </c>
      <c r="AB6" s="1">
        <v>9.5</v>
      </c>
      <c r="AC6" s="1">
        <v>380.0865</v>
      </c>
      <c r="AD6" s="24">
        <v>6.7</v>
      </c>
      <c r="AE6" s="1">
        <v>19.2</v>
      </c>
      <c r="AF6" s="1">
        <v>0.48</v>
      </c>
      <c r="AG6" s="27" t="s">
        <v>45</v>
      </c>
      <c r="AH6" s="1">
        <v>0.96</v>
      </c>
      <c r="AI6" s="27" t="s">
        <v>45</v>
      </c>
      <c r="AJ6" s="1">
        <v>0.48</v>
      </c>
      <c r="AK6" s="1" t="s">
        <v>45</v>
      </c>
      <c r="AL6" s="1">
        <v>1.9</v>
      </c>
      <c r="AM6" s="1">
        <v>4.3</v>
      </c>
      <c r="AN6" s="1" t="s">
        <v>45</v>
      </c>
      <c r="AO6" s="1">
        <v>143</v>
      </c>
      <c r="AP6" s="1">
        <v>1.9</v>
      </c>
      <c r="AQ6" s="1" t="s">
        <v>45</v>
      </c>
      <c r="AR6" s="1">
        <v>14.4</v>
      </c>
      <c r="AS6" s="1">
        <v>44.6</v>
      </c>
      <c r="AT6" s="1">
        <v>143</v>
      </c>
      <c r="AU6" s="1">
        <v>105</v>
      </c>
      <c r="AV6" s="76"/>
      <c r="AW6" s="1">
        <v>565</v>
      </c>
      <c r="AX6" s="1">
        <v>382.0025</v>
      </c>
      <c r="AY6" s="1">
        <v>76.5</v>
      </c>
      <c r="AZ6" s="1">
        <v>7.4089999999999998</v>
      </c>
      <c r="BA6" s="1">
        <v>4.7</v>
      </c>
      <c r="BB6" s="1">
        <v>0.62</v>
      </c>
      <c r="BC6" s="1" t="s">
        <v>45</v>
      </c>
      <c r="BD6" s="1">
        <v>530</v>
      </c>
      <c r="BE6" s="1">
        <v>85.2</v>
      </c>
      <c r="BF6" s="1">
        <v>21.5</v>
      </c>
      <c r="BG6" s="1">
        <v>18</v>
      </c>
      <c r="BH6" s="1">
        <v>19.2</v>
      </c>
      <c r="BI6" s="1">
        <v>239.26050000000001</v>
      </c>
      <c r="BJ6" s="1">
        <v>653</v>
      </c>
      <c r="BK6" s="1">
        <v>364.27949999999998</v>
      </c>
      <c r="BL6" s="76"/>
      <c r="BM6" s="103"/>
      <c r="BN6" s="84">
        <v>4.79</v>
      </c>
      <c r="BO6" s="84">
        <v>0.69</v>
      </c>
      <c r="BP6" s="82">
        <v>7.3</v>
      </c>
      <c r="BQ6" s="82">
        <v>7.3</v>
      </c>
      <c r="BR6" s="82">
        <v>1916</v>
      </c>
      <c r="BS6" s="82">
        <v>120</v>
      </c>
      <c r="BT6" s="83">
        <v>60</v>
      </c>
      <c r="BU6" s="83">
        <v>40</v>
      </c>
      <c r="BV6" s="83">
        <v>30</v>
      </c>
      <c r="BW6" s="83">
        <v>7.5</v>
      </c>
      <c r="BX6" s="83">
        <v>2.5</v>
      </c>
      <c r="BY6" s="83">
        <v>1.3</v>
      </c>
      <c r="BZ6" s="86"/>
      <c r="CA6" s="104"/>
      <c r="CB6" s="93"/>
      <c r="CC6" s="125"/>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c r="IJ6" s="93"/>
      <c r="IK6" s="93"/>
      <c r="IL6" s="93"/>
      <c r="IM6" s="93"/>
      <c r="IN6" s="93"/>
      <c r="IO6" s="93"/>
      <c r="IP6" s="93"/>
      <c r="IQ6" s="93"/>
      <c r="IR6" s="93"/>
      <c r="IS6" s="93"/>
      <c r="IT6" s="93"/>
      <c r="IU6" s="93"/>
      <c r="IV6" s="93"/>
      <c r="IW6" s="93"/>
      <c r="IX6" s="93"/>
      <c r="IY6" s="93"/>
      <c r="IZ6" s="93"/>
      <c r="JA6" s="93"/>
      <c r="JB6" s="93"/>
      <c r="JC6" s="93"/>
      <c r="JD6" s="93"/>
      <c r="JE6" s="93"/>
      <c r="JF6" s="93"/>
      <c r="JG6" s="93"/>
      <c r="JH6" s="93"/>
      <c r="JI6" s="93"/>
      <c r="JJ6" s="93"/>
      <c r="JK6" s="93"/>
      <c r="JL6" s="93"/>
      <c r="JM6" s="93"/>
      <c r="JN6" s="93"/>
      <c r="JO6" s="93"/>
      <c r="JP6" s="93"/>
      <c r="JQ6" s="93"/>
      <c r="JR6" s="93"/>
      <c r="JS6" s="93"/>
      <c r="JT6" s="93"/>
      <c r="JU6" s="93"/>
      <c r="JV6" s="93"/>
      <c r="JW6" s="93"/>
      <c r="JX6" s="93"/>
      <c r="JY6" s="93"/>
      <c r="JZ6" s="93"/>
      <c r="KA6" s="93"/>
      <c r="KB6" s="93"/>
      <c r="KC6" s="93"/>
      <c r="KD6" s="93"/>
      <c r="KE6" s="93"/>
      <c r="KF6" s="93"/>
      <c r="KG6" s="93"/>
      <c r="KH6" s="93"/>
      <c r="KI6" s="93"/>
      <c r="KJ6" s="93"/>
      <c r="KK6" s="93"/>
      <c r="KL6" s="93"/>
      <c r="KM6" s="93"/>
      <c r="KN6" s="117"/>
      <c r="KO6" s="117"/>
    </row>
    <row r="7" spans="1:301" ht="80.25" customHeight="1">
      <c r="A7" s="92"/>
      <c r="B7" s="110" t="s">
        <v>209</v>
      </c>
      <c r="C7" s="131"/>
      <c r="D7" s="80"/>
      <c r="E7" s="90" t="str">
        <f>$B$13</f>
        <v>Neocate® Junior, Unflavored w/ Prebiotic Fiber (discontinued)</v>
      </c>
      <c r="F7" s="73"/>
      <c r="G7" s="72"/>
      <c r="H7" s="107" t="s">
        <v>203</v>
      </c>
      <c r="I7" s="2" t="s">
        <v>206</v>
      </c>
      <c r="J7" s="80"/>
      <c r="K7" s="101"/>
      <c r="L7" s="76"/>
      <c r="M7" s="1">
        <v>472</v>
      </c>
      <c r="N7" s="24">
        <v>14.8</v>
      </c>
      <c r="O7" s="24">
        <v>23</v>
      </c>
      <c r="P7" s="23">
        <v>0.65</v>
      </c>
      <c r="Q7" s="23">
        <v>0.35</v>
      </c>
      <c r="R7" s="1">
        <v>3.75</v>
      </c>
      <c r="S7" s="1">
        <v>0.375</v>
      </c>
      <c r="T7" s="1">
        <v>0</v>
      </c>
      <c r="U7" s="1">
        <v>0</v>
      </c>
      <c r="V7" s="1">
        <v>51.4</v>
      </c>
      <c r="W7" s="1">
        <v>1.9</v>
      </c>
      <c r="X7" s="1"/>
      <c r="Y7" s="1">
        <v>397.99984000000001</v>
      </c>
      <c r="Z7" s="76"/>
      <c r="AA7" s="1">
        <v>287</v>
      </c>
      <c r="AB7" s="1">
        <v>9.5</v>
      </c>
      <c r="AC7" s="1">
        <v>380</v>
      </c>
      <c r="AD7" s="24">
        <v>6.7</v>
      </c>
      <c r="AE7" s="1">
        <v>19.2</v>
      </c>
      <c r="AF7" s="1">
        <v>0.48</v>
      </c>
      <c r="AG7" s="27" t="s">
        <v>45</v>
      </c>
      <c r="AH7" s="1">
        <v>0.96</v>
      </c>
      <c r="AI7" s="27" t="s">
        <v>45</v>
      </c>
      <c r="AJ7" s="1">
        <v>0.48</v>
      </c>
      <c r="AK7" s="1" t="s">
        <v>45</v>
      </c>
      <c r="AL7" s="1">
        <v>1.9</v>
      </c>
      <c r="AM7" s="1">
        <v>4.3</v>
      </c>
      <c r="AN7" s="1" t="s">
        <v>45</v>
      </c>
      <c r="AO7" s="1">
        <v>143</v>
      </c>
      <c r="AP7" s="1">
        <v>1.9</v>
      </c>
      <c r="AQ7" s="1" t="s">
        <v>45</v>
      </c>
      <c r="AR7" s="1">
        <v>14.4</v>
      </c>
      <c r="AS7" s="1">
        <v>44.6</v>
      </c>
      <c r="AT7" s="1">
        <v>143</v>
      </c>
      <c r="AU7" s="1">
        <v>105</v>
      </c>
      <c r="AV7" s="76"/>
      <c r="AW7" s="1">
        <v>565</v>
      </c>
      <c r="AX7" s="1">
        <v>382</v>
      </c>
      <c r="AY7" s="1">
        <v>76.5</v>
      </c>
      <c r="AZ7" s="1">
        <v>7.4</v>
      </c>
      <c r="BA7" s="1">
        <v>4.7</v>
      </c>
      <c r="BB7" s="1">
        <v>0.62</v>
      </c>
      <c r="BC7" s="1" t="s">
        <v>45</v>
      </c>
      <c r="BD7" s="1">
        <v>530</v>
      </c>
      <c r="BE7" s="1">
        <v>85.2</v>
      </c>
      <c r="BF7" s="1">
        <v>21.5</v>
      </c>
      <c r="BG7" s="1">
        <v>18</v>
      </c>
      <c r="BH7" s="1">
        <v>19.2</v>
      </c>
      <c r="BI7" s="1">
        <v>239</v>
      </c>
      <c r="BJ7" s="1">
        <v>653</v>
      </c>
      <c r="BK7" s="1">
        <v>364</v>
      </c>
      <c r="BL7" s="76"/>
      <c r="BM7" s="103"/>
      <c r="BN7" s="84">
        <v>4.72</v>
      </c>
      <c r="BO7" s="84">
        <v>0.74</v>
      </c>
      <c r="BP7" s="82">
        <v>7.7</v>
      </c>
      <c r="BQ7" s="82">
        <v>7.7</v>
      </c>
      <c r="BR7" s="82">
        <v>1888</v>
      </c>
      <c r="BS7" s="83">
        <v>129</v>
      </c>
      <c r="BT7" s="83">
        <f>BS7/2</f>
        <v>64.5</v>
      </c>
      <c r="BU7" s="83">
        <f>BS7/3</f>
        <v>43</v>
      </c>
      <c r="BV7" s="83">
        <f>BT7/2</f>
        <v>32.25</v>
      </c>
      <c r="BW7" s="83">
        <f>BV7/4</f>
        <v>8.0625</v>
      </c>
      <c r="BX7" s="83">
        <f>BW7/3</f>
        <v>2.6875</v>
      </c>
      <c r="BY7" s="83">
        <f>BX7/2</f>
        <v>1.34375</v>
      </c>
      <c r="BZ7" s="86"/>
      <c r="CA7" s="104"/>
      <c r="CB7" s="93"/>
      <c r="CC7" s="125"/>
      <c r="CD7" s="93"/>
      <c r="CE7" s="93"/>
      <c r="CF7" s="93"/>
      <c r="CG7" s="93"/>
      <c r="CH7" s="93"/>
      <c r="CI7" s="93"/>
      <c r="CJ7" s="93"/>
      <c r="CK7" s="93"/>
      <c r="CL7" s="93"/>
      <c r="CM7" s="93"/>
      <c r="CN7" s="93"/>
      <c r="CO7" s="93"/>
      <c r="CP7" s="93"/>
      <c r="CQ7" s="93"/>
      <c r="CR7" s="93"/>
      <c r="CS7" s="93"/>
      <c r="CT7" s="93"/>
      <c r="CU7" s="93"/>
      <c r="CV7" s="93"/>
      <c r="CW7" s="93"/>
      <c r="CX7" s="93"/>
      <c r="CY7" s="93"/>
      <c r="CZ7" s="93"/>
      <c r="DA7" s="93"/>
      <c r="DB7" s="93"/>
      <c r="DC7" s="93"/>
      <c r="DD7" s="93"/>
      <c r="DE7" s="93"/>
      <c r="DF7" s="93"/>
      <c r="DG7" s="93"/>
      <c r="DH7" s="93"/>
      <c r="DI7" s="93"/>
      <c r="DJ7" s="93"/>
      <c r="DK7" s="93"/>
      <c r="DL7" s="93"/>
      <c r="DM7" s="93"/>
      <c r="DN7" s="93"/>
      <c r="DO7" s="93"/>
      <c r="DP7" s="93"/>
      <c r="DQ7" s="93"/>
      <c r="DR7" s="93"/>
      <c r="DS7" s="93"/>
      <c r="DT7" s="93"/>
      <c r="DU7" s="93"/>
      <c r="DV7" s="93"/>
      <c r="DW7" s="93"/>
      <c r="DX7" s="93"/>
      <c r="DY7" s="93"/>
      <c r="DZ7" s="93"/>
      <c r="EA7" s="93"/>
      <c r="EB7" s="93"/>
      <c r="EC7" s="93"/>
      <c r="ED7" s="93"/>
      <c r="EE7" s="93"/>
      <c r="EF7" s="93"/>
      <c r="EG7" s="93"/>
      <c r="EH7" s="93"/>
      <c r="EI7" s="93"/>
      <c r="EJ7" s="93"/>
      <c r="EK7" s="93"/>
      <c r="EL7" s="93"/>
      <c r="EM7" s="93"/>
      <c r="EN7" s="93"/>
      <c r="EO7" s="93"/>
      <c r="EP7" s="93"/>
      <c r="EQ7" s="93"/>
      <c r="ER7" s="93"/>
      <c r="ES7" s="93"/>
      <c r="ET7" s="93"/>
      <c r="EU7" s="93"/>
      <c r="EV7" s="93"/>
      <c r="EW7" s="93"/>
      <c r="EX7" s="93"/>
      <c r="EY7" s="93"/>
      <c r="EZ7" s="93"/>
      <c r="FA7" s="93"/>
      <c r="FB7" s="93"/>
      <c r="FC7" s="93"/>
      <c r="FD7" s="93"/>
      <c r="FE7" s="93"/>
      <c r="FF7" s="93"/>
      <c r="FG7" s="93"/>
      <c r="FH7" s="93"/>
      <c r="FI7" s="93"/>
      <c r="FJ7" s="93"/>
      <c r="FK7" s="93"/>
      <c r="FL7" s="93"/>
      <c r="FM7" s="93"/>
      <c r="FN7" s="93"/>
      <c r="FO7" s="93"/>
      <c r="FP7" s="93"/>
      <c r="FQ7" s="93"/>
      <c r="FR7" s="93"/>
      <c r="FS7" s="93"/>
      <c r="FT7" s="93"/>
      <c r="FU7" s="93"/>
      <c r="FV7" s="93"/>
      <c r="FW7" s="93"/>
      <c r="FX7" s="93"/>
      <c r="FY7" s="93"/>
      <c r="FZ7" s="93"/>
      <c r="GA7" s="93"/>
      <c r="GB7" s="93"/>
      <c r="GC7" s="93"/>
      <c r="GD7" s="93"/>
      <c r="GE7" s="93"/>
      <c r="GF7" s="93"/>
      <c r="GG7" s="93"/>
      <c r="GH7" s="93"/>
      <c r="GI7" s="93"/>
      <c r="GJ7" s="93"/>
      <c r="GK7" s="93"/>
      <c r="GL7" s="93"/>
      <c r="GM7" s="93"/>
      <c r="GN7" s="93"/>
      <c r="GO7" s="93"/>
      <c r="GP7" s="93"/>
      <c r="GQ7" s="93"/>
      <c r="GR7" s="93"/>
      <c r="GS7" s="93"/>
      <c r="GT7" s="93"/>
      <c r="GU7" s="93"/>
      <c r="GV7" s="93"/>
      <c r="GW7" s="93"/>
      <c r="GX7" s="93"/>
      <c r="GY7" s="93"/>
      <c r="GZ7" s="93"/>
      <c r="HA7" s="93"/>
      <c r="HB7" s="93"/>
      <c r="HC7" s="93"/>
      <c r="HD7" s="93"/>
      <c r="HE7" s="93"/>
      <c r="HF7" s="93"/>
      <c r="HG7" s="93"/>
      <c r="HH7" s="93"/>
      <c r="HI7" s="93"/>
      <c r="HJ7" s="93"/>
      <c r="HK7" s="93"/>
      <c r="HL7" s="93"/>
      <c r="HM7" s="93"/>
      <c r="HN7" s="93"/>
      <c r="HO7" s="93"/>
      <c r="HP7" s="93"/>
      <c r="HQ7" s="93"/>
      <c r="HR7" s="93"/>
      <c r="HS7" s="93"/>
      <c r="HT7" s="93"/>
      <c r="HU7" s="93"/>
      <c r="HV7" s="93"/>
      <c r="HW7" s="93"/>
      <c r="HX7" s="93"/>
      <c r="HY7" s="93"/>
      <c r="HZ7" s="93"/>
      <c r="IA7" s="93"/>
      <c r="IB7" s="93"/>
      <c r="IC7" s="93"/>
      <c r="ID7" s="93"/>
      <c r="IE7" s="93"/>
      <c r="IF7" s="93"/>
      <c r="IG7" s="93"/>
      <c r="IH7" s="93"/>
      <c r="II7" s="93"/>
      <c r="IJ7" s="93"/>
      <c r="IK7" s="93"/>
      <c r="IL7" s="93"/>
      <c r="IM7" s="93"/>
      <c r="IN7" s="93"/>
      <c r="IO7" s="93"/>
      <c r="IP7" s="93"/>
      <c r="IQ7" s="93"/>
      <c r="IR7" s="93"/>
      <c r="IS7" s="93"/>
      <c r="IT7" s="93"/>
      <c r="IU7" s="93"/>
      <c r="IV7" s="93"/>
      <c r="IW7" s="93"/>
      <c r="IX7" s="93"/>
      <c r="IY7" s="93"/>
      <c r="IZ7" s="93"/>
      <c r="JA7" s="93"/>
      <c r="JB7" s="93"/>
      <c r="JC7" s="93"/>
      <c r="JD7" s="93"/>
      <c r="JE7" s="93"/>
      <c r="JF7" s="93"/>
      <c r="JG7" s="93"/>
      <c r="JH7" s="93"/>
      <c r="JI7" s="93"/>
      <c r="JJ7" s="93"/>
      <c r="JK7" s="93"/>
      <c r="JL7" s="93"/>
      <c r="JM7" s="93"/>
      <c r="JN7" s="93"/>
      <c r="JO7" s="93"/>
      <c r="JP7" s="93"/>
      <c r="JQ7" s="93"/>
      <c r="JR7" s="93"/>
      <c r="JS7" s="93"/>
      <c r="JT7" s="93"/>
      <c r="JU7" s="93"/>
      <c r="JV7" s="93"/>
      <c r="JW7" s="93"/>
      <c r="JX7" s="93"/>
      <c r="JY7" s="93"/>
      <c r="JZ7" s="93"/>
      <c r="KA7" s="93"/>
      <c r="KB7" s="93"/>
      <c r="KC7" s="93"/>
      <c r="KD7" s="93"/>
      <c r="KE7" s="93"/>
      <c r="KF7" s="93"/>
      <c r="KG7" s="93"/>
      <c r="KH7" s="93"/>
      <c r="KI7" s="93"/>
      <c r="KJ7" s="93"/>
      <c r="KK7" s="93"/>
      <c r="KL7" s="93"/>
      <c r="KM7" s="93"/>
      <c r="KN7" s="117"/>
      <c r="KO7" s="117"/>
    </row>
    <row r="8" spans="1:301" ht="80.25" customHeight="1">
      <c r="A8" s="92"/>
      <c r="B8" s="110" t="s">
        <v>219</v>
      </c>
      <c r="C8" s="131"/>
      <c r="D8" s="80"/>
      <c r="E8" s="90" t="str">
        <f>$B$9</f>
        <v>Neocate® Junior, Vanilla or Strawberry</v>
      </c>
      <c r="F8" s="73"/>
      <c r="G8" s="72"/>
      <c r="H8" s="107" t="s">
        <v>203</v>
      </c>
      <c r="I8" s="2" t="s">
        <v>206</v>
      </c>
      <c r="J8" s="80"/>
      <c r="K8" s="101"/>
      <c r="L8" s="76"/>
      <c r="M8" s="1">
        <v>472</v>
      </c>
      <c r="N8" s="24">
        <v>14.8</v>
      </c>
      <c r="O8" s="24">
        <v>23</v>
      </c>
      <c r="P8" s="23">
        <v>0.65</v>
      </c>
      <c r="Q8" s="23">
        <v>0.35</v>
      </c>
      <c r="R8" s="1">
        <v>3.75</v>
      </c>
      <c r="S8" s="1">
        <v>0.375</v>
      </c>
      <c r="T8" s="1">
        <v>0</v>
      </c>
      <c r="U8" s="1">
        <v>0</v>
      </c>
      <c r="V8" s="1">
        <v>51.4</v>
      </c>
      <c r="W8" s="1">
        <v>1.9</v>
      </c>
      <c r="X8" s="1"/>
      <c r="Y8" s="1">
        <v>397.99984000000001</v>
      </c>
      <c r="Z8" s="76"/>
      <c r="AA8" s="1">
        <v>287</v>
      </c>
      <c r="AB8" s="1">
        <v>9.5</v>
      </c>
      <c r="AC8" s="1">
        <v>380</v>
      </c>
      <c r="AD8" s="24">
        <v>6.7</v>
      </c>
      <c r="AE8" s="1">
        <v>19.2</v>
      </c>
      <c r="AF8" s="1">
        <v>0.48</v>
      </c>
      <c r="AG8" s="27" t="s">
        <v>45</v>
      </c>
      <c r="AH8" s="1">
        <v>0.96</v>
      </c>
      <c r="AI8" s="27" t="s">
        <v>45</v>
      </c>
      <c r="AJ8" s="1">
        <v>0.48</v>
      </c>
      <c r="AK8" s="1" t="s">
        <v>45</v>
      </c>
      <c r="AL8" s="1">
        <v>1.9</v>
      </c>
      <c r="AM8" s="1">
        <v>4.3</v>
      </c>
      <c r="AN8" s="1" t="s">
        <v>45</v>
      </c>
      <c r="AO8" s="1">
        <v>143</v>
      </c>
      <c r="AP8" s="1">
        <v>1.9</v>
      </c>
      <c r="AQ8" s="1" t="s">
        <v>45</v>
      </c>
      <c r="AR8" s="1">
        <v>14.4</v>
      </c>
      <c r="AS8" s="1">
        <v>44.6</v>
      </c>
      <c r="AT8" s="1">
        <v>143</v>
      </c>
      <c r="AU8" s="1">
        <v>105</v>
      </c>
      <c r="AV8" s="76"/>
      <c r="AW8" s="1">
        <v>565</v>
      </c>
      <c r="AX8" s="1">
        <v>382</v>
      </c>
      <c r="AY8" s="1">
        <v>76.5</v>
      </c>
      <c r="AZ8" s="1">
        <v>7.4</v>
      </c>
      <c r="BA8" s="1">
        <v>4.7</v>
      </c>
      <c r="BB8" s="1">
        <v>0.62</v>
      </c>
      <c r="BC8" s="1" t="s">
        <v>45</v>
      </c>
      <c r="BD8" s="1">
        <v>530</v>
      </c>
      <c r="BE8" s="1">
        <v>85.2</v>
      </c>
      <c r="BF8" s="1">
        <v>21.5</v>
      </c>
      <c r="BG8" s="1">
        <v>18</v>
      </c>
      <c r="BH8" s="1">
        <v>19.2</v>
      </c>
      <c r="BI8" s="1">
        <v>239</v>
      </c>
      <c r="BJ8" s="1">
        <v>653</v>
      </c>
      <c r="BK8" s="1">
        <v>364</v>
      </c>
      <c r="BL8" s="76"/>
      <c r="BM8" s="103"/>
      <c r="BN8" s="84">
        <v>4.72</v>
      </c>
      <c r="BO8" s="84">
        <v>0.7</v>
      </c>
      <c r="BP8" s="85">
        <v>7.3</v>
      </c>
      <c r="BQ8" s="85">
        <v>7.3</v>
      </c>
      <c r="BR8" s="82">
        <v>1888</v>
      </c>
      <c r="BS8" s="83">
        <v>121</v>
      </c>
      <c r="BT8" s="83">
        <f>BS8/2</f>
        <v>60.5</v>
      </c>
      <c r="BU8" s="83">
        <f>BS8/3</f>
        <v>40.333333333333336</v>
      </c>
      <c r="BV8" s="83">
        <f>BT8/2</f>
        <v>30.25</v>
      </c>
      <c r="BW8" s="83">
        <f>BV8/4</f>
        <v>7.5625</v>
      </c>
      <c r="BX8" s="83">
        <f>BW8/3</f>
        <v>2.5208333333333335</v>
      </c>
      <c r="BY8" s="83">
        <f>BX8/2</f>
        <v>1.2604166666666667</v>
      </c>
      <c r="BZ8" s="86"/>
      <c r="CA8" s="104"/>
      <c r="CB8" s="93"/>
      <c r="CC8" s="125"/>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c r="FS8" s="93"/>
      <c r="FT8" s="93"/>
      <c r="FU8" s="93"/>
      <c r="FV8" s="93"/>
      <c r="FW8" s="93"/>
      <c r="FX8" s="93"/>
      <c r="FY8" s="93"/>
      <c r="FZ8" s="93"/>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3"/>
      <c r="HS8" s="93"/>
      <c r="HT8" s="93"/>
      <c r="HU8" s="93"/>
      <c r="HV8" s="93"/>
      <c r="HW8" s="93"/>
      <c r="HX8" s="93"/>
      <c r="HY8" s="93"/>
      <c r="HZ8" s="93"/>
      <c r="IA8" s="93"/>
      <c r="IB8" s="93"/>
      <c r="IC8" s="93"/>
      <c r="ID8" s="93"/>
      <c r="IE8" s="93"/>
      <c r="IF8" s="93"/>
      <c r="IG8" s="93"/>
      <c r="IH8" s="93"/>
      <c r="II8" s="93"/>
      <c r="IJ8" s="93"/>
      <c r="IK8" s="93"/>
      <c r="IL8" s="93"/>
      <c r="IM8" s="93"/>
      <c r="IN8" s="93"/>
      <c r="IO8" s="93"/>
      <c r="IP8" s="93"/>
      <c r="IQ8" s="93"/>
      <c r="IR8" s="93"/>
      <c r="IS8" s="93"/>
      <c r="IT8" s="93"/>
      <c r="IU8" s="93"/>
      <c r="IV8" s="93"/>
      <c r="IW8" s="93"/>
      <c r="IX8" s="93"/>
      <c r="IY8" s="93"/>
      <c r="IZ8" s="93"/>
      <c r="JA8" s="93"/>
      <c r="JB8" s="93"/>
      <c r="JC8" s="93"/>
      <c r="JD8" s="93"/>
      <c r="JE8" s="93"/>
      <c r="JF8" s="93"/>
      <c r="JG8" s="93"/>
      <c r="JH8" s="93"/>
      <c r="JI8" s="93"/>
      <c r="JJ8" s="93"/>
      <c r="JK8" s="93"/>
      <c r="JL8" s="93"/>
      <c r="JM8" s="93"/>
      <c r="JN8" s="93"/>
      <c r="JO8" s="93"/>
      <c r="JP8" s="93"/>
      <c r="JQ8" s="93"/>
      <c r="JR8" s="93"/>
      <c r="JS8" s="93"/>
      <c r="JT8" s="93"/>
      <c r="JU8" s="93"/>
      <c r="JV8" s="93"/>
      <c r="JW8" s="93"/>
      <c r="JX8" s="93"/>
      <c r="JY8" s="93"/>
      <c r="JZ8" s="93"/>
      <c r="KA8" s="93"/>
      <c r="KB8" s="93"/>
      <c r="KC8" s="93"/>
      <c r="KD8" s="93"/>
      <c r="KE8" s="93"/>
      <c r="KF8" s="93"/>
      <c r="KG8" s="93"/>
      <c r="KH8" s="93"/>
      <c r="KI8" s="93"/>
      <c r="KJ8" s="93"/>
      <c r="KK8" s="93"/>
      <c r="KL8" s="93"/>
      <c r="KM8" s="93"/>
      <c r="KN8" s="117"/>
      <c r="KO8" s="117"/>
    </row>
    <row r="9" spans="1:301" ht="80.25" customHeight="1">
      <c r="A9" s="92"/>
      <c r="B9" s="110" t="s">
        <v>111</v>
      </c>
      <c r="C9" s="131"/>
      <c r="D9" s="80"/>
      <c r="E9" s="23" t="str">
        <f>$B$6</f>
        <v>Neocate® Nutra</v>
      </c>
      <c r="F9" s="72"/>
      <c r="G9" s="72"/>
      <c r="H9" s="342" t="s">
        <v>210</v>
      </c>
      <c r="I9" s="2" t="s">
        <v>211</v>
      </c>
      <c r="J9" s="80"/>
      <c r="K9" s="101"/>
      <c r="L9" s="76"/>
      <c r="M9" s="1">
        <v>472</v>
      </c>
      <c r="N9" s="1">
        <v>8.1999999999999993</v>
      </c>
      <c r="O9" s="1">
        <v>18.8</v>
      </c>
      <c r="P9" s="23">
        <v>0.96</v>
      </c>
      <c r="Q9" s="23">
        <v>0.04</v>
      </c>
      <c r="R9" s="1">
        <v>3.222</v>
      </c>
      <c r="S9" s="1">
        <v>0.32219999999999999</v>
      </c>
      <c r="T9" s="1">
        <v>0</v>
      </c>
      <c r="U9" s="1">
        <v>0</v>
      </c>
      <c r="V9" s="1">
        <v>67.400000000000006</v>
      </c>
      <c r="W9" s="1">
        <v>0</v>
      </c>
      <c r="X9" s="1"/>
      <c r="Y9" s="1">
        <v>162</v>
      </c>
      <c r="Z9" s="76"/>
      <c r="AA9" s="1">
        <v>194.86</v>
      </c>
      <c r="AB9" s="1">
        <v>4.3</v>
      </c>
      <c r="AC9" s="1">
        <v>171.65</v>
      </c>
      <c r="AD9" s="1">
        <v>2.2789999999999999</v>
      </c>
      <c r="AE9" s="1">
        <v>18.475000000000001</v>
      </c>
      <c r="AF9" s="1">
        <v>318</v>
      </c>
      <c r="AG9" s="27" t="s">
        <v>56</v>
      </c>
      <c r="AH9" s="1">
        <v>249.62</v>
      </c>
      <c r="AI9" s="27" t="s">
        <v>56</v>
      </c>
      <c r="AJ9" s="1">
        <v>249.62</v>
      </c>
      <c r="AK9" s="27" t="s">
        <v>56</v>
      </c>
      <c r="AL9" s="1">
        <v>0.6</v>
      </c>
      <c r="AM9" s="1">
        <v>1099.5</v>
      </c>
      <c r="AN9" s="1" t="s">
        <v>56</v>
      </c>
      <c r="AO9" s="1">
        <v>27.5</v>
      </c>
      <c r="AP9" s="1">
        <v>1399.5</v>
      </c>
      <c r="AQ9" s="1" t="s">
        <v>56</v>
      </c>
      <c r="AR9" s="1">
        <v>9.1</v>
      </c>
      <c r="AS9" s="1">
        <v>23</v>
      </c>
      <c r="AT9" s="1">
        <v>45</v>
      </c>
      <c r="AU9" s="1">
        <v>48.953000000000003</v>
      </c>
      <c r="AV9" s="76"/>
      <c r="AW9" s="1">
        <v>667.5</v>
      </c>
      <c r="AX9" s="1">
        <v>340</v>
      </c>
      <c r="AY9" s="24">
        <v>21</v>
      </c>
      <c r="AZ9" s="1">
        <v>5.9</v>
      </c>
      <c r="BA9" s="1">
        <v>4.0999999999999996</v>
      </c>
      <c r="BB9" s="1">
        <v>310</v>
      </c>
      <c r="BC9" s="1" t="s">
        <v>56</v>
      </c>
      <c r="BD9" s="1">
        <v>310</v>
      </c>
      <c r="BE9" s="1">
        <v>41.4</v>
      </c>
      <c r="BF9" s="1">
        <v>8.8000000000000007</v>
      </c>
      <c r="BG9" s="1">
        <v>10</v>
      </c>
      <c r="BH9" s="1">
        <v>11.3</v>
      </c>
      <c r="BI9" s="1">
        <v>38</v>
      </c>
      <c r="BJ9" s="1">
        <v>20</v>
      </c>
      <c r="BK9" s="1">
        <v>44</v>
      </c>
      <c r="BL9" s="76"/>
      <c r="BM9" s="103"/>
      <c r="BN9" s="84">
        <v>1E-4</v>
      </c>
      <c r="BO9" s="84">
        <v>9.9999999999999994E-30</v>
      </c>
      <c r="BP9" s="84">
        <v>1E-25</v>
      </c>
      <c r="BQ9" s="84">
        <v>4.625</v>
      </c>
      <c r="BR9" s="82">
        <v>1888</v>
      </c>
      <c r="BS9" s="83">
        <v>126</v>
      </c>
      <c r="BT9" s="83">
        <v>63</v>
      </c>
      <c r="BU9" s="83">
        <v>42</v>
      </c>
      <c r="BV9" s="83">
        <v>31.5</v>
      </c>
      <c r="BW9" s="83">
        <v>7.9</v>
      </c>
      <c r="BX9" s="83">
        <v>2.6</v>
      </c>
      <c r="BY9" s="83">
        <v>1.3</v>
      </c>
      <c r="BZ9" s="83"/>
      <c r="CA9" s="104"/>
      <c r="CB9" s="93"/>
      <c r="CC9" s="125"/>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c r="IV9" s="93"/>
      <c r="IW9" s="93"/>
      <c r="IX9" s="93"/>
      <c r="IY9" s="93"/>
      <c r="IZ9" s="93"/>
      <c r="JA9" s="93"/>
      <c r="JB9" s="93"/>
      <c r="JC9" s="93"/>
      <c r="JD9" s="93"/>
      <c r="JE9" s="93"/>
      <c r="JF9" s="93"/>
      <c r="JG9" s="93"/>
      <c r="JH9" s="93"/>
      <c r="JI9" s="93"/>
      <c r="JJ9" s="93"/>
      <c r="JK9" s="93"/>
      <c r="JL9" s="93"/>
      <c r="JM9" s="93"/>
      <c r="JN9" s="93"/>
      <c r="JO9" s="93"/>
      <c r="JP9" s="93"/>
      <c r="JQ9" s="93"/>
      <c r="JR9" s="93"/>
      <c r="JS9" s="93"/>
      <c r="JT9" s="93"/>
      <c r="JU9" s="93"/>
      <c r="JV9" s="93"/>
      <c r="JW9" s="93"/>
      <c r="JX9" s="93"/>
      <c r="JY9" s="93"/>
      <c r="JZ9" s="93"/>
      <c r="KA9" s="93"/>
      <c r="KB9" s="93"/>
      <c r="KC9" s="93"/>
      <c r="KD9" s="93"/>
      <c r="KE9" s="93"/>
      <c r="KF9" s="93"/>
      <c r="KG9" s="93"/>
      <c r="KH9" s="93"/>
      <c r="KI9" s="93"/>
      <c r="KJ9" s="93"/>
      <c r="KK9" s="93"/>
      <c r="KL9" s="93"/>
      <c r="KM9" s="93"/>
      <c r="KN9" s="117"/>
      <c r="KO9" s="117"/>
    </row>
    <row r="10" spans="1:301" ht="80.25" customHeight="1">
      <c r="A10" s="92"/>
      <c r="B10" s="110" t="s">
        <v>212</v>
      </c>
      <c r="C10" s="131"/>
      <c r="D10" s="80"/>
      <c r="E10" s="23" t="str">
        <f>$B$7</f>
        <v>Neocate® Splash</v>
      </c>
      <c r="F10" s="73"/>
      <c r="G10" s="72"/>
      <c r="H10" s="107" t="s">
        <v>213</v>
      </c>
      <c r="I10" s="2" t="s">
        <v>214</v>
      </c>
      <c r="J10" s="80"/>
      <c r="K10" s="101"/>
      <c r="L10" s="76"/>
      <c r="M10" s="1">
        <v>237</v>
      </c>
      <c r="N10" s="1">
        <v>7.1</v>
      </c>
      <c r="O10" s="1">
        <v>12.1</v>
      </c>
      <c r="P10" s="23">
        <v>0.65</v>
      </c>
      <c r="Q10" s="23">
        <v>0.35</v>
      </c>
      <c r="R10" s="25">
        <v>0.76900000000000002</v>
      </c>
      <c r="S10" s="1">
        <v>0.15379999999999999</v>
      </c>
      <c r="T10" s="1">
        <v>0</v>
      </c>
      <c r="U10" s="1">
        <v>0</v>
      </c>
      <c r="V10" s="1">
        <v>24.9</v>
      </c>
      <c r="W10" s="1">
        <v>0</v>
      </c>
      <c r="X10" s="1"/>
      <c r="Y10" s="1">
        <v>188.14843557683093</v>
      </c>
      <c r="Z10" s="76"/>
      <c r="AA10" s="1">
        <v>142.19999999999999</v>
      </c>
      <c r="AB10" s="24">
        <v>4.74</v>
      </c>
      <c r="AC10" s="24">
        <v>189.6</v>
      </c>
      <c r="AD10" s="1">
        <v>3.3395670000000002</v>
      </c>
      <c r="AE10" s="1">
        <v>9.48</v>
      </c>
      <c r="AF10" s="1">
        <v>0.31</v>
      </c>
      <c r="AG10" s="27" t="s">
        <v>45</v>
      </c>
      <c r="AH10" s="1">
        <v>0.47399999999999998</v>
      </c>
      <c r="AI10" s="27" t="s">
        <v>45</v>
      </c>
      <c r="AJ10" s="1">
        <v>0.23699999999999999</v>
      </c>
      <c r="AK10" s="1" t="s">
        <v>45</v>
      </c>
      <c r="AL10" s="1">
        <v>0.94799999999999995</v>
      </c>
      <c r="AM10" s="1">
        <v>2.133</v>
      </c>
      <c r="AN10" s="1" t="s">
        <v>45</v>
      </c>
      <c r="AO10" s="1">
        <v>70.863</v>
      </c>
      <c r="AP10" s="1">
        <v>0.94799999999999995</v>
      </c>
      <c r="AQ10" s="1" t="s">
        <v>45</v>
      </c>
      <c r="AR10" s="1">
        <v>7.11</v>
      </c>
      <c r="AS10" s="1">
        <v>22.041</v>
      </c>
      <c r="AT10" s="1">
        <v>70.863</v>
      </c>
      <c r="AU10" s="1">
        <v>52.14</v>
      </c>
      <c r="AV10" s="76"/>
      <c r="AW10" s="1">
        <v>279.66000000000003</v>
      </c>
      <c r="AX10" s="1">
        <v>189.6</v>
      </c>
      <c r="AY10" s="1">
        <v>37.92</v>
      </c>
      <c r="AZ10" s="1">
        <v>3.5550000000000002</v>
      </c>
      <c r="BA10" s="1">
        <v>2.3226</v>
      </c>
      <c r="BB10" s="1">
        <v>0.30809999999999998</v>
      </c>
      <c r="BC10" s="1" t="s">
        <v>45</v>
      </c>
      <c r="BD10" s="1">
        <v>237</v>
      </c>
      <c r="BE10" s="1">
        <v>42.186</v>
      </c>
      <c r="BF10" s="1">
        <v>10.664999999999999</v>
      </c>
      <c r="BG10" s="1">
        <v>9.0060000000000002</v>
      </c>
      <c r="BH10" s="1">
        <v>9.48</v>
      </c>
      <c r="BI10" s="1">
        <v>142</v>
      </c>
      <c r="BJ10" s="1">
        <v>324.69</v>
      </c>
      <c r="BK10" s="1">
        <v>180.12</v>
      </c>
      <c r="BL10" s="76"/>
      <c r="BM10" s="103"/>
      <c r="BN10" s="84">
        <v>1E-4</v>
      </c>
      <c r="BO10" s="84">
        <v>9.9999999999999994E-30</v>
      </c>
      <c r="BP10" s="84">
        <v>1E-25</v>
      </c>
      <c r="BQ10" s="84">
        <v>1E-4</v>
      </c>
      <c r="BR10" s="82">
        <v>237</v>
      </c>
      <c r="BS10" s="84">
        <v>1E-4</v>
      </c>
      <c r="BT10" s="84">
        <v>1E-4</v>
      </c>
      <c r="BU10" s="84">
        <v>1E-4</v>
      </c>
      <c r="BV10" s="84">
        <v>1E-4</v>
      </c>
      <c r="BW10" s="84">
        <v>1E-4</v>
      </c>
      <c r="BX10" s="84">
        <v>1E-4</v>
      </c>
      <c r="BY10" s="84">
        <v>1E-4</v>
      </c>
      <c r="BZ10" s="86"/>
      <c r="CA10" s="104"/>
      <c r="CB10" s="93"/>
      <c r="CC10" s="125"/>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c r="IV10" s="93"/>
      <c r="IW10" s="93"/>
      <c r="IX10" s="93"/>
      <c r="IY10" s="93"/>
      <c r="IZ10" s="93"/>
      <c r="JA10" s="93"/>
      <c r="JB10" s="93"/>
      <c r="JC10" s="93"/>
      <c r="JD10" s="93"/>
      <c r="JE10" s="93"/>
      <c r="JF10" s="93"/>
      <c r="JG10" s="93"/>
      <c r="JH10" s="93"/>
      <c r="JI10" s="93"/>
      <c r="JJ10" s="93"/>
      <c r="JK10" s="93"/>
      <c r="JL10" s="93"/>
      <c r="JM10" s="93"/>
      <c r="JN10" s="93"/>
      <c r="JO10" s="93"/>
      <c r="JP10" s="93"/>
      <c r="JQ10" s="93"/>
      <c r="JR10" s="93"/>
      <c r="JS10" s="93"/>
      <c r="JT10" s="93"/>
      <c r="JU10" s="93"/>
      <c r="JV10" s="93"/>
      <c r="JW10" s="93"/>
      <c r="JX10" s="93"/>
      <c r="JY10" s="93"/>
      <c r="JZ10" s="93"/>
      <c r="KA10" s="93"/>
      <c r="KB10" s="93"/>
      <c r="KC10" s="93"/>
      <c r="KD10" s="93"/>
      <c r="KE10" s="93"/>
      <c r="KF10" s="93"/>
      <c r="KG10" s="93"/>
      <c r="KH10" s="93"/>
      <c r="KI10" s="93"/>
      <c r="KJ10" s="93"/>
      <c r="KK10" s="93"/>
      <c r="KL10" s="93"/>
      <c r="KM10" s="93"/>
      <c r="KN10" s="117"/>
      <c r="KO10" s="117"/>
    </row>
    <row r="11" spans="1:301" ht="80.25" customHeight="1">
      <c r="A11" s="92"/>
      <c r="B11" s="115" t="s">
        <v>215</v>
      </c>
      <c r="C11" s="131"/>
      <c r="D11" s="80"/>
      <c r="E11" s="90" t="str">
        <f>$B$3</f>
        <v>Neocate® Syneo® Infant</v>
      </c>
      <c r="F11" s="73"/>
      <c r="G11" s="72"/>
      <c r="H11" s="108" t="s">
        <v>216</v>
      </c>
      <c r="I11" s="2" t="s">
        <v>217</v>
      </c>
      <c r="J11" s="80"/>
      <c r="K11" s="101"/>
      <c r="L11" s="76"/>
      <c r="M11" s="28">
        <v>466</v>
      </c>
      <c r="N11" s="1">
        <v>13.5</v>
      </c>
      <c r="O11" s="36">
        <v>23</v>
      </c>
      <c r="P11" s="23">
        <v>0.66</v>
      </c>
      <c r="Q11" s="23">
        <v>0.34</v>
      </c>
      <c r="R11" s="1">
        <v>3.3479999999999999</v>
      </c>
      <c r="S11" s="1">
        <v>0.39600000000000002</v>
      </c>
      <c r="T11" s="58">
        <v>77</v>
      </c>
      <c r="U11" s="36">
        <v>77</v>
      </c>
      <c r="V11" s="59">
        <v>53.3</v>
      </c>
      <c r="W11" s="36">
        <v>4.3</v>
      </c>
      <c r="X11" s="60"/>
      <c r="Y11" s="1">
        <v>628</v>
      </c>
      <c r="Z11" s="76"/>
      <c r="AA11" s="1">
        <v>406</v>
      </c>
      <c r="AB11" s="1">
        <v>8.8000000000000007</v>
      </c>
      <c r="AC11" s="1">
        <v>352</v>
      </c>
      <c r="AD11" s="1">
        <v>4.4000000000000004</v>
      </c>
      <c r="AE11" s="1">
        <v>42.5</v>
      </c>
      <c r="AF11" s="1">
        <v>540</v>
      </c>
      <c r="AG11" s="27" t="s">
        <v>56</v>
      </c>
      <c r="AH11" s="1">
        <v>540</v>
      </c>
      <c r="AI11" s="27" t="s">
        <v>56</v>
      </c>
      <c r="AJ11" s="1">
        <v>540</v>
      </c>
      <c r="AK11" s="27" t="s">
        <v>56</v>
      </c>
      <c r="AL11" s="1">
        <v>1.3</v>
      </c>
      <c r="AM11" s="1">
        <v>4900</v>
      </c>
      <c r="AN11" s="27" t="s">
        <v>56</v>
      </c>
      <c r="AO11" s="24">
        <v>64</v>
      </c>
      <c r="AP11" s="1">
        <v>2900</v>
      </c>
      <c r="AQ11" s="27" t="s">
        <v>56</v>
      </c>
      <c r="AR11" s="24">
        <v>19</v>
      </c>
      <c r="AS11" s="1">
        <v>51.6</v>
      </c>
      <c r="AT11" s="1">
        <v>95.4</v>
      </c>
      <c r="AU11" s="1">
        <v>108</v>
      </c>
      <c r="AV11" s="76"/>
      <c r="AW11" s="1">
        <v>549</v>
      </c>
      <c r="AX11" s="1">
        <v>388</v>
      </c>
      <c r="AY11" s="24">
        <v>50</v>
      </c>
      <c r="AZ11" s="1">
        <v>7.1</v>
      </c>
      <c r="BA11" s="1">
        <v>5.2</v>
      </c>
      <c r="BB11" s="1">
        <v>190</v>
      </c>
      <c r="BC11" s="1" t="s">
        <v>56</v>
      </c>
      <c r="BD11" s="1">
        <v>400</v>
      </c>
      <c r="BE11" s="24">
        <v>98</v>
      </c>
      <c r="BF11" s="24">
        <v>11</v>
      </c>
      <c r="BG11" s="1">
        <v>10.4</v>
      </c>
      <c r="BH11" s="1">
        <v>14.22</v>
      </c>
      <c r="BI11" s="1">
        <v>185</v>
      </c>
      <c r="BJ11" s="1">
        <v>515</v>
      </c>
      <c r="BK11" s="1">
        <v>378</v>
      </c>
      <c r="BL11" s="76"/>
      <c r="BM11" s="103"/>
      <c r="BN11" s="84">
        <v>4.66</v>
      </c>
      <c r="BO11" s="82">
        <v>0.71</v>
      </c>
      <c r="BP11" s="82">
        <v>4.7</v>
      </c>
      <c r="BQ11" s="82">
        <v>4.7</v>
      </c>
      <c r="BR11" s="82">
        <v>1864</v>
      </c>
      <c r="BS11" s="82">
        <v>130</v>
      </c>
      <c r="BT11" s="82">
        <v>65</v>
      </c>
      <c r="BU11" s="82">
        <v>43.3</v>
      </c>
      <c r="BV11" s="82">
        <v>32.5</v>
      </c>
      <c r="BW11" s="82">
        <v>8.1</v>
      </c>
      <c r="BX11" s="82">
        <v>2.7</v>
      </c>
      <c r="BY11" s="82">
        <v>1.4</v>
      </c>
      <c r="BZ11" s="86"/>
      <c r="CA11" s="104"/>
      <c r="CB11" s="93"/>
      <c r="CC11" s="125"/>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c r="IW11" s="93"/>
      <c r="IX11" s="93"/>
      <c r="IY11" s="93"/>
      <c r="IZ11" s="93"/>
      <c r="JA11" s="93"/>
      <c r="JB11" s="93"/>
      <c r="JC11" s="93"/>
      <c r="JD11" s="93"/>
      <c r="JE11" s="93"/>
      <c r="JF11" s="93"/>
      <c r="JG11" s="93"/>
      <c r="JH11" s="93"/>
      <c r="JI11" s="93"/>
      <c r="JJ11" s="93"/>
      <c r="JK11" s="93"/>
      <c r="JL11" s="93"/>
      <c r="JM11" s="93"/>
      <c r="JN11" s="93"/>
      <c r="JO11" s="93"/>
      <c r="JP11" s="93"/>
      <c r="JQ11" s="93"/>
      <c r="JR11" s="93"/>
      <c r="JS11" s="93"/>
      <c r="JT11" s="93"/>
      <c r="JU11" s="93"/>
      <c r="JV11" s="93"/>
      <c r="JW11" s="93"/>
      <c r="JX11" s="93"/>
      <c r="JY11" s="93"/>
      <c r="JZ11" s="93"/>
      <c r="KA11" s="93"/>
      <c r="KB11" s="93"/>
      <c r="KC11" s="93"/>
      <c r="KD11" s="93"/>
      <c r="KE11" s="93"/>
      <c r="KF11" s="93"/>
      <c r="KG11" s="93"/>
      <c r="KH11" s="93"/>
      <c r="KI11" s="93"/>
      <c r="KJ11" s="93"/>
      <c r="KK11" s="93"/>
      <c r="KL11" s="93"/>
      <c r="KM11" s="93"/>
      <c r="KN11" s="117"/>
      <c r="KO11" s="117"/>
    </row>
    <row r="12" spans="1:301" ht="80.25" customHeight="1">
      <c r="A12" s="92"/>
      <c r="B12" s="110" t="s">
        <v>218</v>
      </c>
      <c r="C12" s="131"/>
      <c r="D12" s="80"/>
      <c r="E12" s="110" t="s">
        <v>219</v>
      </c>
      <c r="F12" s="73"/>
      <c r="G12" s="72"/>
      <c r="H12" s="108" t="s">
        <v>258</v>
      </c>
      <c r="I12" s="2" t="s">
        <v>259</v>
      </c>
      <c r="J12" s="80"/>
      <c r="K12" s="101"/>
      <c r="L12" s="76"/>
      <c r="M12" s="28">
        <v>469</v>
      </c>
      <c r="N12" s="1">
        <v>14.8</v>
      </c>
      <c r="O12" s="36">
        <v>22.5</v>
      </c>
      <c r="P12" s="23">
        <v>0.66</v>
      </c>
      <c r="Q12" s="23">
        <v>0.34</v>
      </c>
      <c r="R12" s="1">
        <v>3534</v>
      </c>
      <c r="S12" s="1">
        <v>0.34100000000000003</v>
      </c>
      <c r="T12" s="58">
        <v>0</v>
      </c>
      <c r="U12" s="36">
        <v>0</v>
      </c>
      <c r="V12" s="59">
        <v>53.2</v>
      </c>
      <c r="W12" s="36">
        <v>2.8</v>
      </c>
      <c r="X12" s="60"/>
      <c r="Y12" s="1">
        <v>394</v>
      </c>
      <c r="Z12" s="76"/>
      <c r="AA12" s="1">
        <v>287</v>
      </c>
      <c r="AB12" s="1">
        <v>9.5</v>
      </c>
      <c r="AC12" s="1">
        <v>380</v>
      </c>
      <c r="AD12" s="1">
        <v>6.62</v>
      </c>
      <c r="AE12" s="1">
        <v>19.5</v>
      </c>
      <c r="AF12" s="1">
        <v>0.48</v>
      </c>
      <c r="AG12" s="27" t="s">
        <v>45</v>
      </c>
      <c r="AH12" s="1">
        <v>0.96</v>
      </c>
      <c r="AI12" s="27" t="s">
        <v>45</v>
      </c>
      <c r="AJ12" s="1">
        <v>0.48</v>
      </c>
      <c r="AK12" s="27" t="s">
        <v>45</v>
      </c>
      <c r="AL12" s="1">
        <v>1.9</v>
      </c>
      <c r="AM12" s="1">
        <v>4.3</v>
      </c>
      <c r="AN12" s="27" t="s">
        <v>45</v>
      </c>
      <c r="AO12" s="1">
        <v>85.8</v>
      </c>
      <c r="AP12" s="1">
        <v>1.9</v>
      </c>
      <c r="AQ12" s="27" t="s">
        <v>45</v>
      </c>
      <c r="AR12" s="1">
        <v>14.4</v>
      </c>
      <c r="AS12" s="1">
        <v>44.6</v>
      </c>
      <c r="AT12" s="1">
        <v>143</v>
      </c>
      <c r="AU12" s="1">
        <v>105</v>
      </c>
      <c r="AV12" s="76"/>
      <c r="AW12" s="1">
        <v>586</v>
      </c>
      <c r="AX12" s="1">
        <v>381.1</v>
      </c>
      <c r="AY12" s="24">
        <v>76.5</v>
      </c>
      <c r="AZ12" s="1">
        <v>7.49</v>
      </c>
      <c r="BA12" s="1">
        <v>4.72</v>
      </c>
      <c r="BB12" s="1">
        <v>0.31</v>
      </c>
      <c r="BC12" s="1" t="s">
        <v>45</v>
      </c>
      <c r="BD12" s="1">
        <v>470</v>
      </c>
      <c r="BE12" s="1">
        <v>70.8</v>
      </c>
      <c r="BF12" s="1">
        <v>22.5</v>
      </c>
      <c r="BG12" s="1">
        <v>18.2</v>
      </c>
      <c r="BH12" s="1">
        <v>19.2</v>
      </c>
      <c r="BI12" s="1">
        <v>236.2</v>
      </c>
      <c r="BJ12" s="1">
        <v>653</v>
      </c>
      <c r="BK12" s="1">
        <v>359.1</v>
      </c>
      <c r="BL12" s="76"/>
      <c r="BM12" s="103"/>
      <c r="BN12" s="84">
        <v>4.6900000000000004</v>
      </c>
      <c r="BO12" s="82">
        <v>0.74</v>
      </c>
      <c r="BP12" s="82">
        <v>7.6</v>
      </c>
      <c r="BQ12" s="82">
        <v>7.6</v>
      </c>
      <c r="BR12" s="82">
        <v>1876</v>
      </c>
      <c r="BS12" s="82">
        <v>143</v>
      </c>
      <c r="BT12" s="82">
        <v>71.5</v>
      </c>
      <c r="BU12" s="82">
        <v>47.7</v>
      </c>
      <c r="BV12" s="82">
        <v>35.75</v>
      </c>
      <c r="BW12" s="82">
        <v>8.9</v>
      </c>
      <c r="BX12" s="82">
        <v>2.98</v>
      </c>
      <c r="BY12" s="82">
        <v>1.48</v>
      </c>
      <c r="BZ12" s="86"/>
      <c r="CA12" s="104"/>
      <c r="CB12" s="93"/>
      <c r="CC12" s="125"/>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c r="IW12" s="93"/>
      <c r="IX12" s="93"/>
      <c r="IY12" s="93"/>
      <c r="IZ12" s="93"/>
      <c r="JA12" s="93"/>
      <c r="JB12" s="93"/>
      <c r="JC12" s="93"/>
      <c r="JD12" s="93"/>
      <c r="JE12" s="93"/>
      <c r="JF12" s="93"/>
      <c r="JG12" s="93"/>
      <c r="JH12" s="93"/>
      <c r="JI12" s="93"/>
      <c r="JJ12" s="93"/>
      <c r="JK12" s="93"/>
      <c r="JL12" s="93"/>
      <c r="JM12" s="93"/>
      <c r="JN12" s="93"/>
      <c r="JO12" s="93"/>
      <c r="JP12" s="93"/>
      <c r="JQ12" s="93"/>
      <c r="JR12" s="93"/>
      <c r="JS12" s="93"/>
      <c r="JT12" s="93"/>
      <c r="JU12" s="93"/>
      <c r="JV12" s="93"/>
      <c r="JW12" s="93"/>
      <c r="JX12" s="93"/>
      <c r="JY12" s="93"/>
      <c r="JZ12" s="93"/>
      <c r="KA12" s="93"/>
      <c r="KB12" s="93"/>
      <c r="KC12" s="93"/>
      <c r="KD12" s="93"/>
      <c r="KE12" s="93"/>
      <c r="KF12" s="93"/>
      <c r="KG12" s="93"/>
      <c r="KH12" s="93"/>
      <c r="KI12" s="93"/>
      <c r="KJ12" s="93"/>
      <c r="KK12" s="93"/>
      <c r="KL12" s="93"/>
      <c r="KM12" s="93"/>
      <c r="KN12" s="117"/>
      <c r="KO12" s="117"/>
    </row>
    <row r="13" spans="1:301" ht="80.25" customHeight="1">
      <c r="A13" s="92"/>
      <c r="B13" s="110" t="s">
        <v>220</v>
      </c>
      <c r="C13" s="131"/>
      <c r="D13" s="80"/>
      <c r="E13" s="357" t="str">
        <f>$B$5</f>
        <v>Pepticate™ Infant</v>
      </c>
      <c r="G13" s="72"/>
      <c r="H13" s="107" t="s">
        <v>257</v>
      </c>
      <c r="I13" s="2" t="s">
        <v>260</v>
      </c>
      <c r="J13" s="80"/>
      <c r="K13" s="101"/>
      <c r="L13" s="76"/>
      <c r="M13" s="1">
        <v>473</v>
      </c>
      <c r="N13" s="1">
        <v>11.4</v>
      </c>
      <c r="O13" s="1">
        <v>22.3</v>
      </c>
      <c r="P13" s="23">
        <v>0.85</v>
      </c>
      <c r="Q13" s="23">
        <v>0.15</v>
      </c>
      <c r="R13" s="1">
        <v>3.7549999999999999</v>
      </c>
      <c r="S13" s="1">
        <v>0.42299999999999999</v>
      </c>
      <c r="T13" s="1">
        <v>80</v>
      </c>
      <c r="U13" s="1">
        <v>80</v>
      </c>
      <c r="V13" s="1">
        <v>59.1</v>
      </c>
      <c r="W13" s="1">
        <v>3.4</v>
      </c>
      <c r="X13" s="1"/>
      <c r="Y13" s="1">
        <v>640</v>
      </c>
      <c r="Z13" s="76"/>
      <c r="AA13" s="1">
        <v>410</v>
      </c>
      <c r="AB13" s="24">
        <v>8</v>
      </c>
      <c r="AC13" s="1">
        <v>320</v>
      </c>
      <c r="AD13" s="1">
        <v>8.5</v>
      </c>
      <c r="AE13" s="24">
        <v>36</v>
      </c>
      <c r="AF13" s="1">
        <v>0.47599999999999998</v>
      </c>
      <c r="AG13" s="27" t="s">
        <v>45</v>
      </c>
      <c r="AH13" s="27">
        <v>1.0049999999999999</v>
      </c>
      <c r="AI13" s="1" t="s">
        <v>45</v>
      </c>
      <c r="AJ13" s="1">
        <v>0.247</v>
      </c>
      <c r="AK13" s="27" t="s">
        <v>45</v>
      </c>
      <c r="AL13" s="1">
        <v>0.93</v>
      </c>
      <c r="AM13" s="1">
        <v>5.0110000000000001</v>
      </c>
      <c r="AN13" s="1" t="s">
        <v>45</v>
      </c>
      <c r="AO13" s="1">
        <v>73.5</v>
      </c>
      <c r="AP13" s="1">
        <v>3.8570000000000002</v>
      </c>
      <c r="AQ13" s="1" t="s">
        <v>45</v>
      </c>
      <c r="AR13" s="24">
        <v>12</v>
      </c>
      <c r="AS13" s="1">
        <v>48.8</v>
      </c>
      <c r="AT13" s="1">
        <v>113</v>
      </c>
      <c r="AU13" s="1">
        <v>38.799999999999997</v>
      </c>
      <c r="AV13" s="76"/>
      <c r="AW13" s="1">
        <v>488</v>
      </c>
      <c r="AX13" s="1">
        <v>307</v>
      </c>
      <c r="AY13" s="24">
        <v>47.7</v>
      </c>
      <c r="AZ13" s="1">
        <v>6.9</v>
      </c>
      <c r="BA13" s="1">
        <v>4.3</v>
      </c>
      <c r="BB13" s="1">
        <v>4.7500000000000001E-2</v>
      </c>
      <c r="BC13" s="1" t="s">
        <v>45</v>
      </c>
      <c r="BD13" s="1">
        <v>313</v>
      </c>
      <c r="BE13" s="1">
        <v>96.1</v>
      </c>
      <c r="BF13" s="356" t="s">
        <v>221</v>
      </c>
      <c r="BG13" s="356" t="s">
        <v>221</v>
      </c>
      <c r="BH13" s="1">
        <v>17.3</v>
      </c>
      <c r="BI13" s="1">
        <v>164</v>
      </c>
      <c r="BJ13" s="1">
        <v>493</v>
      </c>
      <c r="BK13" s="1">
        <v>354</v>
      </c>
      <c r="BL13" s="76"/>
      <c r="BM13" s="103"/>
      <c r="BN13" s="84">
        <v>4.7300000000000004</v>
      </c>
      <c r="BO13" s="84">
        <v>0.69</v>
      </c>
      <c r="BP13" s="84">
        <v>4.8</v>
      </c>
      <c r="BQ13" s="84">
        <v>4.8</v>
      </c>
      <c r="BR13" s="82">
        <v>1774</v>
      </c>
      <c r="BS13" s="84">
        <v>133</v>
      </c>
      <c r="BT13" s="84">
        <v>59.5</v>
      </c>
      <c r="BU13" s="84">
        <v>39.700000000000003</v>
      </c>
      <c r="BV13" s="84">
        <v>29.8</v>
      </c>
      <c r="BW13" s="84">
        <v>7.4</v>
      </c>
      <c r="BX13" s="84">
        <v>2.5</v>
      </c>
      <c r="BY13" s="84">
        <v>1.25</v>
      </c>
      <c r="BZ13" s="86"/>
      <c r="CA13" s="104"/>
      <c r="CB13" s="93"/>
      <c r="CC13" s="125"/>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3"/>
      <c r="IX13" s="93"/>
      <c r="IY13" s="93"/>
      <c r="IZ13" s="93"/>
      <c r="JA13" s="93"/>
      <c r="JB13" s="93"/>
      <c r="JC13" s="93"/>
      <c r="JD13" s="93"/>
      <c r="JE13" s="93"/>
      <c r="JF13" s="93"/>
      <c r="JG13" s="93"/>
      <c r="JH13" s="93"/>
      <c r="JI13" s="93"/>
      <c r="JJ13" s="93"/>
      <c r="JK13" s="93"/>
      <c r="JL13" s="93"/>
      <c r="JM13" s="93"/>
      <c r="JN13" s="93"/>
      <c r="JO13" s="93"/>
      <c r="JP13" s="93"/>
      <c r="JQ13" s="93"/>
      <c r="JR13" s="93"/>
      <c r="JS13" s="93"/>
      <c r="JT13" s="93"/>
      <c r="JU13" s="93"/>
      <c r="JV13" s="93"/>
      <c r="JW13" s="93"/>
      <c r="JX13" s="93"/>
      <c r="JY13" s="93"/>
      <c r="JZ13" s="93"/>
      <c r="KA13" s="93"/>
      <c r="KB13" s="93"/>
      <c r="KC13" s="93"/>
      <c r="KD13" s="93"/>
      <c r="KE13" s="93"/>
      <c r="KF13" s="93"/>
      <c r="KG13" s="93"/>
      <c r="KH13" s="93"/>
      <c r="KI13" s="93"/>
      <c r="KJ13" s="93"/>
      <c r="KK13" s="93"/>
      <c r="KL13" s="93"/>
      <c r="KM13" s="93"/>
      <c r="KN13" s="117"/>
      <c r="KO13" s="117"/>
    </row>
    <row r="14" spans="1:301" ht="80.25" customHeight="1">
      <c r="A14" s="92"/>
      <c r="C14" s="131"/>
      <c r="D14" s="80"/>
      <c r="J14" s="80"/>
      <c r="K14" s="101"/>
      <c r="L14" s="76"/>
      <c r="Z14" s="76"/>
      <c r="AV14" s="76"/>
      <c r="BL14" s="102"/>
      <c r="BM14" s="74"/>
      <c r="BS14" s="83"/>
      <c r="BT14" s="83"/>
      <c r="BU14" s="83"/>
      <c r="BV14" s="83"/>
      <c r="BW14" s="83"/>
      <c r="BX14" s="83"/>
      <c r="BY14" s="83"/>
      <c r="BZ14" s="83"/>
      <c r="CA14" s="104"/>
      <c r="CB14" s="93"/>
      <c r="CC14" s="124" t="s">
        <v>222</v>
      </c>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117"/>
      <c r="KO14" s="117"/>
    </row>
    <row r="15" spans="1:301" ht="80.25" customHeight="1">
      <c r="A15" s="92"/>
      <c r="B15" s="79"/>
      <c r="C15" s="79"/>
      <c r="D15" s="80"/>
      <c r="E15" s="80"/>
      <c r="F15" s="80"/>
      <c r="G15" s="80"/>
      <c r="H15" s="80"/>
      <c r="I15" s="80"/>
      <c r="J15" s="80"/>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4"/>
      <c r="BN15" s="74"/>
      <c r="BO15" s="74"/>
      <c r="BP15" s="74"/>
      <c r="BQ15" s="74"/>
      <c r="BR15" s="74"/>
      <c r="BS15" s="74"/>
      <c r="BT15" s="74"/>
      <c r="BU15" s="74"/>
      <c r="BV15" s="74"/>
      <c r="BW15" s="74"/>
      <c r="BX15" s="74"/>
      <c r="BY15" s="74"/>
      <c r="BZ15" s="74"/>
      <c r="CA15" s="74"/>
      <c r="CB15" s="116"/>
      <c r="CC15" s="124" t="s">
        <v>223</v>
      </c>
      <c r="CD15" s="22"/>
      <c r="CE15" s="562" t="s">
        <v>224</v>
      </c>
      <c r="CF15" s="562"/>
      <c r="CG15" s="562"/>
      <c r="CH15" s="562"/>
      <c r="CI15" s="562"/>
      <c r="CJ15" s="562"/>
      <c r="CK15" s="120"/>
      <c r="CL15" s="120"/>
      <c r="CM15" s="120"/>
      <c r="CN15" s="120"/>
      <c r="CO15" s="120"/>
      <c r="CP15" s="120"/>
      <c r="CQ15" s="120"/>
      <c r="CR15" s="120"/>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1" t="s">
        <v>225</v>
      </c>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1" t="s">
        <v>226</v>
      </c>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93"/>
      <c r="KN15" s="128" t="s">
        <v>227</v>
      </c>
      <c r="KO15" s="128" t="s">
        <v>228</v>
      </c>
    </row>
    <row r="16" spans="1:301" ht="80.25" customHeight="1">
      <c r="A16" s="92"/>
      <c r="B16" s="79"/>
      <c r="C16" s="79"/>
      <c r="D16" s="80"/>
      <c r="E16" s="80"/>
      <c r="F16" s="80"/>
      <c r="G16" s="80"/>
      <c r="H16" s="80"/>
      <c r="I16" s="80"/>
      <c r="J16" s="80"/>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4"/>
      <c r="BN16" s="74"/>
      <c r="BO16" s="74"/>
      <c r="BP16" s="74"/>
      <c r="BQ16" s="74"/>
      <c r="BR16" s="74"/>
      <c r="BS16" s="74"/>
      <c r="BT16" s="74"/>
      <c r="BU16" s="74"/>
      <c r="BV16" s="74"/>
      <c r="BW16" s="74"/>
      <c r="BX16" s="74"/>
      <c r="BY16" s="74"/>
      <c r="BZ16" s="74"/>
      <c r="CA16" s="74"/>
      <c r="CB16" s="116"/>
      <c r="CC16" s="124" t="s">
        <v>36</v>
      </c>
      <c r="CD16" s="22"/>
      <c r="CE16" s="29"/>
      <c r="CF16" s="30">
        <v>41</v>
      </c>
      <c r="CG16" s="31">
        <v>40</v>
      </c>
      <c r="CH16" s="31">
        <v>38</v>
      </c>
      <c r="CI16" s="31">
        <v>37</v>
      </c>
      <c r="CJ16" s="31">
        <v>77</v>
      </c>
      <c r="CK16" s="31">
        <v>76</v>
      </c>
      <c r="CL16" s="31">
        <v>74</v>
      </c>
      <c r="CM16" s="31">
        <v>73</v>
      </c>
      <c r="CN16" s="31">
        <v>5</v>
      </c>
      <c r="CO16" s="31">
        <v>4</v>
      </c>
      <c r="CP16" s="31">
        <v>2</v>
      </c>
      <c r="CQ16" s="31">
        <v>1</v>
      </c>
      <c r="CR16" s="31">
        <v>17</v>
      </c>
      <c r="CS16" s="31">
        <v>16</v>
      </c>
      <c r="CT16" s="31">
        <v>14</v>
      </c>
      <c r="CU16" s="31">
        <v>13</v>
      </c>
      <c r="CV16" s="31">
        <v>35</v>
      </c>
      <c r="CW16" s="31">
        <v>34</v>
      </c>
      <c r="CX16" s="31">
        <v>32</v>
      </c>
      <c r="CY16" s="31">
        <v>31</v>
      </c>
      <c r="CZ16" s="31">
        <v>47</v>
      </c>
      <c r="DA16" s="31">
        <v>46</v>
      </c>
      <c r="DB16" s="31">
        <v>53</v>
      </c>
      <c r="DC16" s="31">
        <v>52</v>
      </c>
      <c r="DD16" s="31">
        <v>44</v>
      </c>
      <c r="DE16" s="31">
        <v>43</v>
      </c>
      <c r="DF16" s="31">
        <v>50</v>
      </c>
      <c r="DG16" s="31">
        <v>49</v>
      </c>
      <c r="DH16" s="31">
        <v>59</v>
      </c>
      <c r="DI16" s="31">
        <v>58</v>
      </c>
      <c r="DJ16" s="31">
        <v>65</v>
      </c>
      <c r="DK16" s="31">
        <v>64</v>
      </c>
      <c r="DL16" s="31">
        <v>56</v>
      </c>
      <c r="DM16" s="31">
        <v>55</v>
      </c>
      <c r="DN16" s="31">
        <v>62</v>
      </c>
      <c r="DO16" s="31">
        <v>61</v>
      </c>
      <c r="DP16" s="31">
        <v>23</v>
      </c>
      <c r="DQ16" s="31">
        <v>22</v>
      </c>
      <c r="DR16" s="31">
        <v>20</v>
      </c>
      <c r="DS16" s="31">
        <v>19</v>
      </c>
      <c r="DT16" s="31">
        <v>71</v>
      </c>
      <c r="DU16" s="31">
        <v>70</v>
      </c>
      <c r="DV16" s="31">
        <v>68</v>
      </c>
      <c r="DW16" s="31">
        <v>67</v>
      </c>
      <c r="DX16" s="31">
        <v>11</v>
      </c>
      <c r="DY16" s="31">
        <v>10</v>
      </c>
      <c r="DZ16" s="31">
        <v>8</v>
      </c>
      <c r="EA16" s="31">
        <v>7</v>
      </c>
      <c r="EB16" s="31">
        <v>29</v>
      </c>
      <c r="EC16" s="31">
        <v>28</v>
      </c>
      <c r="ED16" s="31">
        <v>26</v>
      </c>
      <c r="EE16" s="32">
        <v>25</v>
      </c>
      <c r="EF16" s="1"/>
      <c r="EG16" s="26"/>
      <c r="EH16" s="26"/>
      <c r="EI16" s="30">
        <v>41</v>
      </c>
      <c r="EJ16" s="31">
        <v>40</v>
      </c>
      <c r="EK16" s="31">
        <v>42</v>
      </c>
      <c r="EL16" s="31">
        <v>38</v>
      </c>
      <c r="EM16" s="31">
        <v>37</v>
      </c>
      <c r="EN16" s="31">
        <v>39</v>
      </c>
      <c r="EO16" s="31">
        <v>77</v>
      </c>
      <c r="EP16" s="31">
        <v>76</v>
      </c>
      <c r="EQ16" s="31">
        <v>78</v>
      </c>
      <c r="ER16" s="31">
        <v>74</v>
      </c>
      <c r="ES16" s="31">
        <v>73</v>
      </c>
      <c r="ET16" s="31">
        <v>75</v>
      </c>
      <c r="EU16" s="31">
        <v>5</v>
      </c>
      <c r="EV16" s="31">
        <v>4</v>
      </c>
      <c r="EW16" s="31">
        <v>6</v>
      </c>
      <c r="EX16" s="31">
        <v>2</v>
      </c>
      <c r="EY16" s="31">
        <v>1</v>
      </c>
      <c r="EZ16" s="31">
        <v>3</v>
      </c>
      <c r="FA16" s="31">
        <v>17</v>
      </c>
      <c r="FB16" s="31">
        <v>16</v>
      </c>
      <c r="FC16" s="31">
        <v>18</v>
      </c>
      <c r="FD16" s="31">
        <v>14</v>
      </c>
      <c r="FE16" s="31">
        <v>13</v>
      </c>
      <c r="FF16" s="31">
        <v>15</v>
      </c>
      <c r="FG16" s="31">
        <v>35</v>
      </c>
      <c r="FH16" s="31">
        <v>34</v>
      </c>
      <c r="FI16" s="31">
        <v>36</v>
      </c>
      <c r="FJ16" s="31">
        <v>32</v>
      </c>
      <c r="FK16" s="31">
        <v>31</v>
      </c>
      <c r="FL16" s="31">
        <v>33</v>
      </c>
      <c r="FM16" s="31">
        <v>47</v>
      </c>
      <c r="FN16" s="31">
        <v>46</v>
      </c>
      <c r="FO16" s="31">
        <v>48</v>
      </c>
      <c r="FP16" s="31">
        <v>53</v>
      </c>
      <c r="FQ16" s="31">
        <v>52</v>
      </c>
      <c r="FR16" s="31">
        <v>54</v>
      </c>
      <c r="FS16" s="31">
        <v>44</v>
      </c>
      <c r="FT16" s="31">
        <v>43</v>
      </c>
      <c r="FU16" s="31">
        <v>45</v>
      </c>
      <c r="FV16" s="31">
        <v>50</v>
      </c>
      <c r="FW16" s="31">
        <v>49</v>
      </c>
      <c r="FX16" s="31">
        <v>51</v>
      </c>
      <c r="FY16" s="31">
        <v>59</v>
      </c>
      <c r="FZ16" s="31">
        <v>58</v>
      </c>
      <c r="GA16" s="31">
        <v>60</v>
      </c>
      <c r="GB16" s="31">
        <v>65</v>
      </c>
      <c r="GC16" s="31">
        <v>64</v>
      </c>
      <c r="GD16" s="31">
        <v>66</v>
      </c>
      <c r="GE16" s="31">
        <v>56</v>
      </c>
      <c r="GF16" s="31">
        <v>55</v>
      </c>
      <c r="GG16" s="31">
        <v>57</v>
      </c>
      <c r="GH16" s="31">
        <v>62</v>
      </c>
      <c r="GI16" s="31">
        <v>61</v>
      </c>
      <c r="GJ16" s="31">
        <v>63</v>
      </c>
      <c r="GK16" s="31">
        <v>23</v>
      </c>
      <c r="GL16" s="31">
        <v>22</v>
      </c>
      <c r="GM16" s="31">
        <v>24</v>
      </c>
      <c r="GN16" s="31">
        <v>20</v>
      </c>
      <c r="GO16" s="31">
        <v>19</v>
      </c>
      <c r="GP16" s="31">
        <v>21</v>
      </c>
      <c r="GQ16" s="31">
        <v>71</v>
      </c>
      <c r="GR16" s="31">
        <v>70</v>
      </c>
      <c r="GS16" s="31">
        <v>72</v>
      </c>
      <c r="GT16" s="31">
        <v>68</v>
      </c>
      <c r="GU16" s="31">
        <v>67</v>
      </c>
      <c r="GV16" s="31">
        <v>69</v>
      </c>
      <c r="GW16" s="31">
        <v>11</v>
      </c>
      <c r="GX16" s="31">
        <v>10</v>
      </c>
      <c r="GY16" s="31">
        <v>12</v>
      </c>
      <c r="GZ16" s="31">
        <v>8</v>
      </c>
      <c r="HA16" s="31">
        <v>7</v>
      </c>
      <c r="HB16" s="31">
        <v>9</v>
      </c>
      <c r="HC16" s="31">
        <v>29</v>
      </c>
      <c r="HD16" s="31">
        <v>28</v>
      </c>
      <c r="HE16" s="31">
        <v>30</v>
      </c>
      <c r="HF16" s="31">
        <v>26</v>
      </c>
      <c r="HG16" s="31">
        <v>25</v>
      </c>
      <c r="HH16" s="32">
        <v>27</v>
      </c>
      <c r="HI16" s="1"/>
      <c r="HJ16" s="1"/>
      <c r="HK16" s="1"/>
      <c r="HL16" s="30">
        <v>41</v>
      </c>
      <c r="HM16" s="31">
        <v>40</v>
      </c>
      <c r="HN16" s="31">
        <v>42</v>
      </c>
      <c r="HO16" s="31">
        <v>38</v>
      </c>
      <c r="HP16" s="31">
        <v>37</v>
      </c>
      <c r="HQ16" s="31">
        <v>39</v>
      </c>
      <c r="HR16" s="31">
        <v>77</v>
      </c>
      <c r="HS16" s="31">
        <v>76</v>
      </c>
      <c r="HT16" s="31">
        <v>78</v>
      </c>
      <c r="HU16" s="31">
        <v>74</v>
      </c>
      <c r="HV16" s="31">
        <v>73</v>
      </c>
      <c r="HW16" s="31">
        <v>75</v>
      </c>
      <c r="HX16" s="31">
        <v>5</v>
      </c>
      <c r="HY16" s="31">
        <v>4</v>
      </c>
      <c r="HZ16" s="31">
        <v>6</v>
      </c>
      <c r="IA16" s="31">
        <v>2</v>
      </c>
      <c r="IB16" s="31">
        <v>1</v>
      </c>
      <c r="IC16" s="31">
        <v>3</v>
      </c>
      <c r="ID16" s="31">
        <v>17</v>
      </c>
      <c r="IE16" s="31">
        <v>16</v>
      </c>
      <c r="IF16" s="31">
        <v>18</v>
      </c>
      <c r="IG16" s="31">
        <v>14</v>
      </c>
      <c r="IH16" s="31">
        <v>13</v>
      </c>
      <c r="II16" s="31">
        <v>15</v>
      </c>
      <c r="IJ16" s="31">
        <v>35</v>
      </c>
      <c r="IK16" s="31">
        <v>34</v>
      </c>
      <c r="IL16" s="31">
        <v>36</v>
      </c>
      <c r="IM16" s="31">
        <v>32</v>
      </c>
      <c r="IN16" s="31">
        <v>31</v>
      </c>
      <c r="IO16" s="31">
        <v>33</v>
      </c>
      <c r="IP16" s="31">
        <v>47</v>
      </c>
      <c r="IQ16" s="31">
        <v>46</v>
      </c>
      <c r="IR16" s="31">
        <v>48</v>
      </c>
      <c r="IS16" s="31">
        <v>53</v>
      </c>
      <c r="IT16" s="31">
        <v>52</v>
      </c>
      <c r="IU16" s="31">
        <v>54</v>
      </c>
      <c r="IV16" s="31">
        <v>44</v>
      </c>
      <c r="IW16" s="31">
        <v>43</v>
      </c>
      <c r="IX16" s="31">
        <v>45</v>
      </c>
      <c r="IY16" s="31">
        <v>50</v>
      </c>
      <c r="IZ16" s="31">
        <v>49</v>
      </c>
      <c r="JA16" s="31">
        <v>51</v>
      </c>
      <c r="JB16" s="31">
        <v>59</v>
      </c>
      <c r="JC16" s="31">
        <v>58</v>
      </c>
      <c r="JD16" s="31">
        <v>60</v>
      </c>
      <c r="JE16" s="31">
        <v>65</v>
      </c>
      <c r="JF16" s="31">
        <v>64</v>
      </c>
      <c r="JG16" s="31">
        <v>66</v>
      </c>
      <c r="JH16" s="31">
        <v>56</v>
      </c>
      <c r="JI16" s="31">
        <v>55</v>
      </c>
      <c r="JJ16" s="31">
        <v>57</v>
      </c>
      <c r="JK16" s="31">
        <v>62</v>
      </c>
      <c r="JL16" s="31">
        <v>61</v>
      </c>
      <c r="JM16" s="31">
        <v>63</v>
      </c>
      <c r="JN16" s="31">
        <v>23</v>
      </c>
      <c r="JO16" s="31">
        <v>22</v>
      </c>
      <c r="JP16" s="31">
        <v>24</v>
      </c>
      <c r="JQ16" s="31">
        <v>20</v>
      </c>
      <c r="JR16" s="31">
        <v>19</v>
      </c>
      <c r="JS16" s="31">
        <v>21</v>
      </c>
      <c r="JT16" s="31">
        <v>71</v>
      </c>
      <c r="JU16" s="31">
        <v>70</v>
      </c>
      <c r="JV16" s="31">
        <v>72</v>
      </c>
      <c r="JW16" s="31">
        <v>68</v>
      </c>
      <c r="JX16" s="31">
        <v>67</v>
      </c>
      <c r="JY16" s="31">
        <v>69</v>
      </c>
      <c r="JZ16" s="31">
        <v>11</v>
      </c>
      <c r="KA16" s="31">
        <v>10</v>
      </c>
      <c r="KB16" s="31">
        <v>12</v>
      </c>
      <c r="KC16" s="31">
        <v>8</v>
      </c>
      <c r="KD16" s="31">
        <v>7</v>
      </c>
      <c r="KE16" s="31">
        <v>9</v>
      </c>
      <c r="KF16" s="31">
        <v>29</v>
      </c>
      <c r="KG16" s="31">
        <v>28</v>
      </c>
      <c r="KH16" s="31">
        <v>30</v>
      </c>
      <c r="KI16" s="31">
        <v>26</v>
      </c>
      <c r="KJ16" s="31">
        <v>25</v>
      </c>
      <c r="KK16" s="32">
        <v>27</v>
      </c>
      <c r="KL16" s="1"/>
      <c r="KM16" s="93"/>
      <c r="KN16" s="129">
        <f>'Mixing &amp; Measures Tool'!B56*'Mixing &amp; Measures Tool'!D56</f>
        <v>240</v>
      </c>
      <c r="KO16" s="130">
        <f>KN16</f>
        <v>240</v>
      </c>
    </row>
    <row r="17" spans="1:301" ht="21">
      <c r="A17" s="92"/>
      <c r="B17" s="92"/>
      <c r="C17" s="79"/>
      <c r="D17" s="80"/>
      <c r="E17" s="80"/>
      <c r="F17" s="80"/>
      <c r="G17" s="80"/>
      <c r="H17" s="80"/>
      <c r="I17" s="80"/>
      <c r="J17" s="80"/>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4"/>
      <c r="BN17" s="74"/>
      <c r="BO17" s="74"/>
      <c r="BP17" s="74"/>
      <c r="BQ17" s="74"/>
      <c r="BR17" s="74"/>
      <c r="BS17" s="74"/>
      <c r="BT17" s="74"/>
      <c r="BU17" s="74"/>
      <c r="BV17" s="74"/>
      <c r="BW17" s="74"/>
      <c r="BX17" s="74"/>
      <c r="BY17" s="74"/>
      <c r="BZ17" s="74"/>
      <c r="CA17" s="74"/>
      <c r="CB17" s="116"/>
      <c r="CC17" s="124" t="s">
        <v>229</v>
      </c>
      <c r="CD17" s="1"/>
      <c r="CE17" s="1"/>
      <c r="CF17" s="50" t="str">
        <f>$CC$27</f>
        <v>&lt;19 yr, Lactating</v>
      </c>
      <c r="CG17" s="51" t="str">
        <f>$CC$27</f>
        <v>&lt;19 yr, Lactating</v>
      </c>
      <c r="CH17" s="51" t="str">
        <f>$CC$26</f>
        <v>&lt;19 yr, Pregnant</v>
      </c>
      <c r="CI17" s="51" t="str">
        <f>$CC$26</f>
        <v>&lt;19 yr, Pregnant</v>
      </c>
      <c r="CJ17" s="51" t="str">
        <f>$CC$38</f>
        <v>&gt;70 yr, Female</v>
      </c>
      <c r="CK17" s="51" t="str">
        <f>$CC$38</f>
        <v>&gt;70 yr, Female</v>
      </c>
      <c r="CL17" s="51" t="str">
        <f>$CC$39</f>
        <v>&gt;70 yr, Male</v>
      </c>
      <c r="CM17" s="51" t="str">
        <f>$CC$39</f>
        <v>&gt;70 yr, Male</v>
      </c>
      <c r="CN17" s="51" t="str">
        <f>$CC$15</f>
        <v>0-6 mo, Male</v>
      </c>
      <c r="CO17" s="51" t="str">
        <f>$CC$15</f>
        <v>0-6 mo, Male</v>
      </c>
      <c r="CP17" s="51" t="str">
        <f>$CC$16</f>
        <v>7-12 mo, Female</v>
      </c>
      <c r="CQ17" s="51" t="str">
        <f>$CC$16</f>
        <v>7-12 mo, Female</v>
      </c>
      <c r="CR17" s="51" t="str">
        <f>$CC$19</f>
        <v>1-3 yr, Male</v>
      </c>
      <c r="CS17" s="51" t="str">
        <f>$CC$19</f>
        <v>1-3 yr, Male</v>
      </c>
      <c r="CT17" s="51" t="str">
        <f>$CC$20</f>
        <v>4-8 yr, Female</v>
      </c>
      <c r="CU17" s="51" t="str">
        <f>$CC$20</f>
        <v>4-8 yr, Female</v>
      </c>
      <c r="CV17" s="51" t="str">
        <f>$CC$24</f>
        <v>14-18 yr, Female</v>
      </c>
      <c r="CW17" s="51" t="str">
        <f>$CC$24</f>
        <v>14-18 yr, Female</v>
      </c>
      <c r="CX17" s="51" t="str">
        <f>$CC$25</f>
        <v>14-18 yr, Male</v>
      </c>
      <c r="CY17" s="51" t="str">
        <f>$CC$25</f>
        <v>14-18 yr, Male</v>
      </c>
      <c r="CZ17" s="51" t="str">
        <f>$CC$28</f>
        <v>19-30 yr, Female</v>
      </c>
      <c r="DA17" s="51" t="str">
        <f>$CC$28</f>
        <v>19-30 yr, Female</v>
      </c>
      <c r="DB17" s="51" t="str">
        <f>$CC$31</f>
        <v>19-30 yr, Lactating</v>
      </c>
      <c r="DC17" s="51" t="str">
        <f>$CC$31</f>
        <v>19-30 yr, Lactating</v>
      </c>
      <c r="DD17" s="51" t="str">
        <f>$CC$29</f>
        <v>19-30 yr, Male</v>
      </c>
      <c r="DE17" s="51" t="str">
        <f>$CC$29</f>
        <v>19-30 yr, Male</v>
      </c>
      <c r="DF17" s="51" t="str">
        <f>$CC$30</f>
        <v>19-30 yr, Pregnant</v>
      </c>
      <c r="DG17" s="51" t="str">
        <f>$CC$30</f>
        <v>19-30 yr, Pregnant</v>
      </c>
      <c r="DH17" s="51" t="str">
        <f>$CC$32</f>
        <v>31-50 yr, Female</v>
      </c>
      <c r="DI17" s="51" t="str">
        <f>$CC$32</f>
        <v>31-50 yr, Female</v>
      </c>
      <c r="DJ17" s="51" t="str">
        <f>$CC$35</f>
        <v>31-50 yr, Lactating</v>
      </c>
      <c r="DK17" s="51" t="str">
        <f>$CC$35</f>
        <v>31-50 yr, Lactating</v>
      </c>
      <c r="DL17" s="51" t="str">
        <f>$CC$33</f>
        <v>31-50 yr, Male</v>
      </c>
      <c r="DM17" s="51" t="str">
        <f>$CC$33</f>
        <v>31-50 yr, Male</v>
      </c>
      <c r="DN17" s="51" t="str">
        <f>$CC$34</f>
        <v>31-50 yr, Pregnant</v>
      </c>
      <c r="DO17" s="51" t="str">
        <f>$CC$34</f>
        <v>31-50 yr, Pregnant</v>
      </c>
      <c r="DP17" s="51" t="e">
        <f>#REF!</f>
        <v>#REF!</v>
      </c>
      <c r="DQ17" s="51" t="e">
        <f>#REF!</f>
        <v>#REF!</v>
      </c>
      <c r="DR17" s="51" t="str">
        <f>$CC$21</f>
        <v>4-8 yr, Male</v>
      </c>
      <c r="DS17" s="51" t="str">
        <f>$CC$21</f>
        <v>4-8 yr, Male</v>
      </c>
      <c r="DT17" s="51" t="str">
        <f>$CC$36</f>
        <v>51-70 yr, Female</v>
      </c>
      <c r="DU17" s="51" t="str">
        <f>$CC$36</f>
        <v>51-70 yr, Female</v>
      </c>
      <c r="DV17" s="51" t="str">
        <f>$CC$37</f>
        <v>51-70 yr, Male</v>
      </c>
      <c r="DW17" s="51" t="str">
        <f>$CC$37</f>
        <v>51-70 yr, Male</v>
      </c>
      <c r="DX17" s="51" t="str">
        <f>$CC$17</f>
        <v>7-12 mo, Male</v>
      </c>
      <c r="DY17" s="51" t="str">
        <f>$CC$17</f>
        <v>7-12 mo, Male</v>
      </c>
      <c r="DZ17" s="51" t="str">
        <f>$CC$18</f>
        <v>1-3 yr, Female</v>
      </c>
      <c r="EA17" s="51" t="str">
        <f>$CC$18</f>
        <v>1-3 yr, Female</v>
      </c>
      <c r="EB17" s="51" t="str">
        <f>$CC$22</f>
        <v>9-13 yr, Female</v>
      </c>
      <c r="EC17" s="51" t="str">
        <f>$CC$22</f>
        <v>9-13 yr, Female</v>
      </c>
      <c r="ED17" s="51" t="str">
        <f>$CC$23</f>
        <v>9-13 yr, Male</v>
      </c>
      <c r="EE17" s="52" t="str">
        <f>$CC$23</f>
        <v>9-13 yr, Male</v>
      </c>
      <c r="EF17" s="51"/>
      <c r="EG17" s="26"/>
      <c r="EH17" s="26"/>
      <c r="EI17" s="53" t="str">
        <f>$CC$27</f>
        <v>&lt;19 yr, Lactating</v>
      </c>
      <c r="EJ17" s="54" t="str">
        <f>$CC$27</f>
        <v>&lt;19 yr, Lactating</v>
      </c>
      <c r="EK17" s="54" t="str">
        <f>$CC$27</f>
        <v>&lt;19 yr, Lactating</v>
      </c>
      <c r="EL17" s="54" t="str">
        <f>$CC$26</f>
        <v>&lt;19 yr, Pregnant</v>
      </c>
      <c r="EM17" s="54" t="str">
        <f>$CC$26</f>
        <v>&lt;19 yr, Pregnant</v>
      </c>
      <c r="EN17" s="54" t="str">
        <f>$CC$26</f>
        <v>&lt;19 yr, Pregnant</v>
      </c>
      <c r="EO17" s="54" t="str">
        <f>$CC$38</f>
        <v>&gt;70 yr, Female</v>
      </c>
      <c r="EP17" s="54" t="str">
        <f>$CC$38</f>
        <v>&gt;70 yr, Female</v>
      </c>
      <c r="EQ17" s="54" t="str">
        <f>$CC$38</f>
        <v>&gt;70 yr, Female</v>
      </c>
      <c r="ER17" s="54" t="str">
        <f>$CC$39</f>
        <v>&gt;70 yr, Male</v>
      </c>
      <c r="ES17" s="54" t="str">
        <f>$CC$39</f>
        <v>&gt;70 yr, Male</v>
      </c>
      <c r="ET17" s="54" t="str">
        <f>$CC$39</f>
        <v>&gt;70 yr, Male</v>
      </c>
      <c r="EU17" s="54" t="str">
        <f>$CC$15</f>
        <v>0-6 mo, Male</v>
      </c>
      <c r="EV17" s="54" t="str">
        <f>$CC$15</f>
        <v>0-6 mo, Male</v>
      </c>
      <c r="EW17" s="54" t="str">
        <f>$CC$15</f>
        <v>0-6 mo, Male</v>
      </c>
      <c r="EX17" s="54" t="str">
        <f>$CC$16</f>
        <v>7-12 mo, Female</v>
      </c>
      <c r="EY17" s="54" t="str">
        <f>$CC$16</f>
        <v>7-12 mo, Female</v>
      </c>
      <c r="EZ17" s="54" t="str">
        <f>$CC$16</f>
        <v>7-12 mo, Female</v>
      </c>
      <c r="FA17" s="54" t="str">
        <f>$CC$19</f>
        <v>1-3 yr, Male</v>
      </c>
      <c r="FB17" s="54" t="str">
        <f>$CC$19</f>
        <v>1-3 yr, Male</v>
      </c>
      <c r="FC17" s="54" t="str">
        <f>$CC$19</f>
        <v>1-3 yr, Male</v>
      </c>
      <c r="FD17" s="54" t="str">
        <f>$CC$20</f>
        <v>4-8 yr, Female</v>
      </c>
      <c r="FE17" s="54" t="str">
        <f>$CC$20</f>
        <v>4-8 yr, Female</v>
      </c>
      <c r="FF17" s="54" t="str">
        <f>$CC$20</f>
        <v>4-8 yr, Female</v>
      </c>
      <c r="FG17" s="54" t="str">
        <f>$CC$24</f>
        <v>14-18 yr, Female</v>
      </c>
      <c r="FH17" s="54" t="str">
        <f>$CC$24</f>
        <v>14-18 yr, Female</v>
      </c>
      <c r="FI17" s="54" t="str">
        <f>$CC$24</f>
        <v>14-18 yr, Female</v>
      </c>
      <c r="FJ17" s="54" t="str">
        <f>$CC$25</f>
        <v>14-18 yr, Male</v>
      </c>
      <c r="FK17" s="54" t="str">
        <f>$CC$25</f>
        <v>14-18 yr, Male</v>
      </c>
      <c r="FL17" s="54" t="str">
        <f>$CC$25</f>
        <v>14-18 yr, Male</v>
      </c>
      <c r="FM17" s="54" t="str">
        <f>$CC$28</f>
        <v>19-30 yr, Female</v>
      </c>
      <c r="FN17" s="54" t="str">
        <f>$CC$28</f>
        <v>19-30 yr, Female</v>
      </c>
      <c r="FO17" s="54" t="str">
        <f>$CC$28</f>
        <v>19-30 yr, Female</v>
      </c>
      <c r="FP17" s="54" t="str">
        <f>$CC$31</f>
        <v>19-30 yr, Lactating</v>
      </c>
      <c r="FQ17" s="54" t="str">
        <f>$CC$31</f>
        <v>19-30 yr, Lactating</v>
      </c>
      <c r="FR17" s="54" t="str">
        <f>$CC$31</f>
        <v>19-30 yr, Lactating</v>
      </c>
      <c r="FS17" s="54" t="str">
        <f>$CC$29</f>
        <v>19-30 yr, Male</v>
      </c>
      <c r="FT17" s="54" t="str">
        <f>$CC$29</f>
        <v>19-30 yr, Male</v>
      </c>
      <c r="FU17" s="54" t="str">
        <f>$CC$29</f>
        <v>19-30 yr, Male</v>
      </c>
      <c r="FV17" s="54" t="str">
        <f>$CC$30</f>
        <v>19-30 yr, Pregnant</v>
      </c>
      <c r="FW17" s="54" t="str">
        <f>$CC$30</f>
        <v>19-30 yr, Pregnant</v>
      </c>
      <c r="FX17" s="54" t="str">
        <f>$CC$30</f>
        <v>19-30 yr, Pregnant</v>
      </c>
      <c r="FY17" s="54" t="str">
        <f>$CC$32</f>
        <v>31-50 yr, Female</v>
      </c>
      <c r="FZ17" s="54" t="str">
        <f>$CC$32</f>
        <v>31-50 yr, Female</v>
      </c>
      <c r="GA17" s="54" t="str">
        <f>$CC$32</f>
        <v>31-50 yr, Female</v>
      </c>
      <c r="GB17" s="54" t="str">
        <f>$CC$35</f>
        <v>31-50 yr, Lactating</v>
      </c>
      <c r="GC17" s="54" t="str">
        <f>$CC$35</f>
        <v>31-50 yr, Lactating</v>
      </c>
      <c r="GD17" s="54" t="str">
        <f>$CC$35</f>
        <v>31-50 yr, Lactating</v>
      </c>
      <c r="GE17" s="54" t="str">
        <f>$CC$33</f>
        <v>31-50 yr, Male</v>
      </c>
      <c r="GF17" s="54" t="str">
        <f>$CC$33</f>
        <v>31-50 yr, Male</v>
      </c>
      <c r="GG17" s="54" t="str">
        <f>$CC$33</f>
        <v>31-50 yr, Male</v>
      </c>
      <c r="GH17" s="54" t="str">
        <f>$CC$34</f>
        <v>31-50 yr, Pregnant</v>
      </c>
      <c r="GI17" s="54" t="str">
        <f>$CC$34</f>
        <v>31-50 yr, Pregnant</v>
      </c>
      <c r="GJ17" s="54" t="str">
        <f>$CC$34</f>
        <v>31-50 yr, Pregnant</v>
      </c>
      <c r="GK17" s="54" t="e">
        <f>#REF!</f>
        <v>#REF!</v>
      </c>
      <c r="GL17" s="54" t="e">
        <f>#REF!</f>
        <v>#REF!</v>
      </c>
      <c r="GM17" s="54" t="e">
        <f>#REF!</f>
        <v>#REF!</v>
      </c>
      <c r="GN17" s="54" t="str">
        <f>$CC$21</f>
        <v>4-8 yr, Male</v>
      </c>
      <c r="GO17" s="54" t="str">
        <f>$CC$21</f>
        <v>4-8 yr, Male</v>
      </c>
      <c r="GP17" s="54" t="str">
        <f>$CC$21</f>
        <v>4-8 yr, Male</v>
      </c>
      <c r="GQ17" s="54" t="str">
        <f>$CC$36</f>
        <v>51-70 yr, Female</v>
      </c>
      <c r="GR17" s="54" t="str">
        <f>$CC$36</f>
        <v>51-70 yr, Female</v>
      </c>
      <c r="GS17" s="54" t="str">
        <f>$CC$36</f>
        <v>51-70 yr, Female</v>
      </c>
      <c r="GT17" s="54" t="str">
        <f>$CC$37</f>
        <v>51-70 yr, Male</v>
      </c>
      <c r="GU17" s="54" t="str">
        <f>$CC$37</f>
        <v>51-70 yr, Male</v>
      </c>
      <c r="GV17" s="54" t="str">
        <f>$CC$37</f>
        <v>51-70 yr, Male</v>
      </c>
      <c r="GW17" s="54" t="str">
        <f>$CC$17</f>
        <v>7-12 mo, Male</v>
      </c>
      <c r="GX17" s="54" t="str">
        <f>$CC$17</f>
        <v>7-12 mo, Male</v>
      </c>
      <c r="GY17" s="54" t="str">
        <f>$CC$17</f>
        <v>7-12 mo, Male</v>
      </c>
      <c r="GZ17" s="54" t="str">
        <f>$CC$18</f>
        <v>1-3 yr, Female</v>
      </c>
      <c r="HA17" s="54" t="str">
        <f>$CC$18</f>
        <v>1-3 yr, Female</v>
      </c>
      <c r="HB17" s="54" t="str">
        <f>$CC$18</f>
        <v>1-3 yr, Female</v>
      </c>
      <c r="HC17" s="54" t="str">
        <f>$CC$22</f>
        <v>9-13 yr, Female</v>
      </c>
      <c r="HD17" s="54" t="str">
        <f>$CC$22</f>
        <v>9-13 yr, Female</v>
      </c>
      <c r="HE17" s="54" t="str">
        <f>$CC$22</f>
        <v>9-13 yr, Female</v>
      </c>
      <c r="HF17" s="54" t="str">
        <f>$CC$23</f>
        <v>9-13 yr, Male</v>
      </c>
      <c r="HG17" s="54" t="str">
        <f>$CC$23</f>
        <v>9-13 yr, Male</v>
      </c>
      <c r="HH17" s="55" t="str">
        <f>$CC$23</f>
        <v>9-13 yr, Male</v>
      </c>
      <c r="HI17" s="54"/>
      <c r="HJ17" s="1"/>
      <c r="HK17" s="1"/>
      <c r="HL17" s="53" t="str">
        <f>$CC$27</f>
        <v>&lt;19 yr, Lactating</v>
      </c>
      <c r="HM17" s="54" t="str">
        <f>$CC$27</f>
        <v>&lt;19 yr, Lactating</v>
      </c>
      <c r="HN17" s="54" t="str">
        <f>$CC$27</f>
        <v>&lt;19 yr, Lactating</v>
      </c>
      <c r="HO17" s="54" t="str">
        <f>$CC$26</f>
        <v>&lt;19 yr, Pregnant</v>
      </c>
      <c r="HP17" s="54" t="str">
        <f>$CC$26</f>
        <v>&lt;19 yr, Pregnant</v>
      </c>
      <c r="HQ17" s="54" t="str">
        <f>$CC$26</f>
        <v>&lt;19 yr, Pregnant</v>
      </c>
      <c r="HR17" s="54" t="str">
        <f>$CC$38</f>
        <v>&gt;70 yr, Female</v>
      </c>
      <c r="HS17" s="54" t="str">
        <f>$CC$38</f>
        <v>&gt;70 yr, Female</v>
      </c>
      <c r="HT17" s="54" t="str">
        <f>$CC$38</f>
        <v>&gt;70 yr, Female</v>
      </c>
      <c r="HU17" s="54" t="str">
        <f>$CC$39</f>
        <v>&gt;70 yr, Male</v>
      </c>
      <c r="HV17" s="54" t="str">
        <f>$CC$39</f>
        <v>&gt;70 yr, Male</v>
      </c>
      <c r="HW17" s="54" t="str">
        <f>$CC$39</f>
        <v>&gt;70 yr, Male</v>
      </c>
      <c r="HX17" s="54" t="str">
        <f>$CC$15</f>
        <v>0-6 mo, Male</v>
      </c>
      <c r="HY17" s="54" t="str">
        <f>$CC$15</f>
        <v>0-6 mo, Male</v>
      </c>
      <c r="HZ17" s="54" t="str">
        <f>$CC$15</f>
        <v>0-6 mo, Male</v>
      </c>
      <c r="IA17" s="54" t="str">
        <f>$CC$16</f>
        <v>7-12 mo, Female</v>
      </c>
      <c r="IB17" s="54" t="str">
        <f>$CC$16</f>
        <v>7-12 mo, Female</v>
      </c>
      <c r="IC17" s="54" t="str">
        <f>$CC$16</f>
        <v>7-12 mo, Female</v>
      </c>
      <c r="ID17" s="54" t="str">
        <f>$CC$19</f>
        <v>1-3 yr, Male</v>
      </c>
      <c r="IE17" s="54" t="str">
        <f>$CC$19</f>
        <v>1-3 yr, Male</v>
      </c>
      <c r="IF17" s="54" t="str">
        <f>$CC$19</f>
        <v>1-3 yr, Male</v>
      </c>
      <c r="IG17" s="54" t="str">
        <f>$CC$20</f>
        <v>4-8 yr, Female</v>
      </c>
      <c r="IH17" s="54" t="str">
        <f>$CC$20</f>
        <v>4-8 yr, Female</v>
      </c>
      <c r="II17" s="54" t="str">
        <f>$CC$20</f>
        <v>4-8 yr, Female</v>
      </c>
      <c r="IJ17" s="54" t="str">
        <f>$CC$24</f>
        <v>14-18 yr, Female</v>
      </c>
      <c r="IK17" s="54" t="str">
        <f>$CC$24</f>
        <v>14-18 yr, Female</v>
      </c>
      <c r="IL17" s="54" t="str">
        <f>$CC$24</f>
        <v>14-18 yr, Female</v>
      </c>
      <c r="IM17" s="54" t="str">
        <f>$CC$25</f>
        <v>14-18 yr, Male</v>
      </c>
      <c r="IN17" s="54" t="str">
        <f>$CC$25</f>
        <v>14-18 yr, Male</v>
      </c>
      <c r="IO17" s="54" t="str">
        <f>$CC$25</f>
        <v>14-18 yr, Male</v>
      </c>
      <c r="IP17" s="54" t="str">
        <f>$CC$28</f>
        <v>19-30 yr, Female</v>
      </c>
      <c r="IQ17" s="54" t="str">
        <f>$CC$28</f>
        <v>19-30 yr, Female</v>
      </c>
      <c r="IR17" s="54" t="str">
        <f>$CC$28</f>
        <v>19-30 yr, Female</v>
      </c>
      <c r="IS17" s="54" t="str">
        <f>$CC$31</f>
        <v>19-30 yr, Lactating</v>
      </c>
      <c r="IT17" s="54" t="str">
        <f>$CC$31</f>
        <v>19-30 yr, Lactating</v>
      </c>
      <c r="IU17" s="54" t="str">
        <f>$CC$31</f>
        <v>19-30 yr, Lactating</v>
      </c>
      <c r="IV17" s="54" t="str">
        <f>$CC$29</f>
        <v>19-30 yr, Male</v>
      </c>
      <c r="IW17" s="54" t="str">
        <f>$CC$29</f>
        <v>19-30 yr, Male</v>
      </c>
      <c r="IX17" s="54" t="str">
        <f>$CC$29</f>
        <v>19-30 yr, Male</v>
      </c>
      <c r="IY17" s="54" t="str">
        <f>$CC$30</f>
        <v>19-30 yr, Pregnant</v>
      </c>
      <c r="IZ17" s="54" t="str">
        <f>$CC$30</f>
        <v>19-30 yr, Pregnant</v>
      </c>
      <c r="JA17" s="54" t="str">
        <f>$CC$30</f>
        <v>19-30 yr, Pregnant</v>
      </c>
      <c r="JB17" s="54" t="str">
        <f>$CC$32</f>
        <v>31-50 yr, Female</v>
      </c>
      <c r="JC17" s="54" t="str">
        <f>$CC$32</f>
        <v>31-50 yr, Female</v>
      </c>
      <c r="JD17" s="54" t="str">
        <f>$CC$32</f>
        <v>31-50 yr, Female</v>
      </c>
      <c r="JE17" s="54" t="str">
        <f>$CC$35</f>
        <v>31-50 yr, Lactating</v>
      </c>
      <c r="JF17" s="54" t="str">
        <f>$CC$35</f>
        <v>31-50 yr, Lactating</v>
      </c>
      <c r="JG17" s="54" t="str">
        <f>$CC$35</f>
        <v>31-50 yr, Lactating</v>
      </c>
      <c r="JH17" s="54" t="str">
        <f>$CC$33</f>
        <v>31-50 yr, Male</v>
      </c>
      <c r="JI17" s="54" t="str">
        <f>$CC$33</f>
        <v>31-50 yr, Male</v>
      </c>
      <c r="JJ17" s="54" t="str">
        <f>$CC$33</f>
        <v>31-50 yr, Male</v>
      </c>
      <c r="JK17" s="54" t="str">
        <f>$CC$34</f>
        <v>31-50 yr, Pregnant</v>
      </c>
      <c r="JL17" s="54" t="str">
        <f>$CC$34</f>
        <v>31-50 yr, Pregnant</v>
      </c>
      <c r="JM17" s="54" t="str">
        <f>$CC$34</f>
        <v>31-50 yr, Pregnant</v>
      </c>
      <c r="JN17" s="54" t="e">
        <f>#REF!</f>
        <v>#REF!</v>
      </c>
      <c r="JO17" s="54" t="e">
        <f>#REF!</f>
        <v>#REF!</v>
      </c>
      <c r="JP17" s="54" t="e">
        <f>#REF!</f>
        <v>#REF!</v>
      </c>
      <c r="JQ17" s="54" t="str">
        <f>$CC$21</f>
        <v>4-8 yr, Male</v>
      </c>
      <c r="JR17" s="54" t="str">
        <f>$CC$21</f>
        <v>4-8 yr, Male</v>
      </c>
      <c r="JS17" s="54" t="str">
        <f>$CC$21</f>
        <v>4-8 yr, Male</v>
      </c>
      <c r="JT17" s="54" t="str">
        <f>$CC$36</f>
        <v>51-70 yr, Female</v>
      </c>
      <c r="JU17" s="54" t="str">
        <f>$CC$36</f>
        <v>51-70 yr, Female</v>
      </c>
      <c r="JV17" s="54" t="str">
        <f>$CC$36</f>
        <v>51-70 yr, Female</v>
      </c>
      <c r="JW17" s="54" t="str">
        <f>$CC$37</f>
        <v>51-70 yr, Male</v>
      </c>
      <c r="JX17" s="54" t="str">
        <f>$CC$37</f>
        <v>51-70 yr, Male</v>
      </c>
      <c r="JY17" s="54" t="str">
        <f>$CC$37</f>
        <v>51-70 yr, Male</v>
      </c>
      <c r="JZ17" s="54" t="str">
        <f>$CC$17</f>
        <v>7-12 mo, Male</v>
      </c>
      <c r="KA17" s="54" t="str">
        <f>$CC$17</f>
        <v>7-12 mo, Male</v>
      </c>
      <c r="KB17" s="54" t="str">
        <f>$CC$17</f>
        <v>7-12 mo, Male</v>
      </c>
      <c r="KC17" s="54" t="str">
        <f>$CC$18</f>
        <v>1-3 yr, Female</v>
      </c>
      <c r="KD17" s="54" t="str">
        <f>$CC$18</f>
        <v>1-3 yr, Female</v>
      </c>
      <c r="KE17" s="54" t="str">
        <f>$CC$18</f>
        <v>1-3 yr, Female</v>
      </c>
      <c r="KF17" s="54" t="str">
        <f>$CC$22</f>
        <v>9-13 yr, Female</v>
      </c>
      <c r="KG17" s="54" t="str">
        <f>$CC$22</f>
        <v>9-13 yr, Female</v>
      </c>
      <c r="KH17" s="54" t="str">
        <f>$CC$22</f>
        <v>9-13 yr, Female</v>
      </c>
      <c r="KI17" s="54" t="str">
        <f>$CC$23</f>
        <v>9-13 yr, Male</v>
      </c>
      <c r="KJ17" s="54" t="str">
        <f>$CC$23</f>
        <v>9-13 yr, Male</v>
      </c>
      <c r="KK17" s="55" t="str">
        <f>$CC$23</f>
        <v>9-13 yr, Male</v>
      </c>
      <c r="KL17" s="54"/>
      <c r="KM17" s="93"/>
      <c r="KN17" s="129">
        <f>'Mixing &amp; Measures Tool'!B57*'Mixing &amp; Measures Tool'!D57</f>
        <v>0</v>
      </c>
      <c r="KO17" s="130">
        <f>SUM(KN16:KN17)</f>
        <v>240</v>
      </c>
    </row>
    <row r="18" spans="1:301" ht="21">
      <c r="A18" s="92"/>
      <c r="B18" s="92"/>
      <c r="C18" s="79"/>
      <c r="D18" s="80"/>
      <c r="E18" s="80"/>
      <c r="F18" s="80"/>
      <c r="G18" s="80"/>
      <c r="H18" s="80"/>
      <c r="I18" s="80"/>
      <c r="J18" s="80"/>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4"/>
      <c r="BN18" s="74"/>
      <c r="BO18" s="74"/>
      <c r="BP18" s="74"/>
      <c r="BQ18" s="74"/>
      <c r="BR18" s="74"/>
      <c r="BS18" s="74"/>
      <c r="BT18" s="74"/>
      <c r="BU18" s="74"/>
      <c r="BV18" s="74"/>
      <c r="BW18" s="74"/>
      <c r="BX18" s="74"/>
      <c r="BY18" s="74"/>
      <c r="BZ18" s="74"/>
      <c r="CA18" s="74"/>
      <c r="CB18" s="116"/>
      <c r="CC18" s="124" t="s">
        <v>230</v>
      </c>
      <c r="CD18" s="33">
        <v>9</v>
      </c>
      <c r="CE18" s="34" t="str">
        <f>'Neocate® &amp; Pepticate™ DRI Calc'!$K20</f>
        <v>ARA</v>
      </c>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2"/>
      <c r="EF18" s="126"/>
      <c r="EG18" s="44">
        <v>13</v>
      </c>
      <c r="EH18" s="45" t="str">
        <f>'Neocate® &amp; Pepticate™ DRI Calc'!$K42</f>
        <v>Biotin (B7)</v>
      </c>
      <c r="EI18" s="30">
        <v>35</v>
      </c>
      <c r="EJ18" s="31" t="s">
        <v>231</v>
      </c>
      <c r="EK18" s="31" t="s">
        <v>56</v>
      </c>
      <c r="EL18" s="31">
        <v>30</v>
      </c>
      <c r="EM18" s="31" t="s">
        <v>231</v>
      </c>
      <c r="EN18" s="31" t="s">
        <v>56</v>
      </c>
      <c r="EO18" s="31">
        <v>30</v>
      </c>
      <c r="EP18" s="31" t="s">
        <v>231</v>
      </c>
      <c r="EQ18" s="31" t="s">
        <v>56</v>
      </c>
      <c r="ER18" s="31">
        <v>30</v>
      </c>
      <c r="ES18" s="31" t="s">
        <v>231</v>
      </c>
      <c r="ET18" s="31" t="s">
        <v>56</v>
      </c>
      <c r="EU18" s="31">
        <v>5</v>
      </c>
      <c r="EV18" s="34" t="s">
        <v>231</v>
      </c>
      <c r="EW18" s="31" t="s">
        <v>56</v>
      </c>
      <c r="EX18" s="31">
        <v>5</v>
      </c>
      <c r="EY18" s="34" t="s">
        <v>231</v>
      </c>
      <c r="EZ18" s="31" t="s">
        <v>56</v>
      </c>
      <c r="FA18" s="31">
        <v>8</v>
      </c>
      <c r="FB18" s="31" t="s">
        <v>231</v>
      </c>
      <c r="FC18" s="31" t="s">
        <v>56</v>
      </c>
      <c r="FD18" s="31">
        <v>8</v>
      </c>
      <c r="FE18" s="31" t="s">
        <v>231</v>
      </c>
      <c r="FF18" s="31" t="s">
        <v>56</v>
      </c>
      <c r="FG18" s="31">
        <v>25</v>
      </c>
      <c r="FH18" s="31" t="s">
        <v>231</v>
      </c>
      <c r="FI18" s="31" t="s">
        <v>56</v>
      </c>
      <c r="FJ18" s="31">
        <v>25</v>
      </c>
      <c r="FK18" s="31" t="s">
        <v>231</v>
      </c>
      <c r="FL18" s="31" t="s">
        <v>56</v>
      </c>
      <c r="FM18" s="31">
        <v>30</v>
      </c>
      <c r="FN18" s="31" t="s">
        <v>231</v>
      </c>
      <c r="FO18" s="31" t="s">
        <v>56</v>
      </c>
      <c r="FP18" s="31">
        <v>35</v>
      </c>
      <c r="FQ18" s="31" t="s">
        <v>231</v>
      </c>
      <c r="FR18" s="31" t="s">
        <v>56</v>
      </c>
      <c r="FS18" s="31">
        <v>30</v>
      </c>
      <c r="FT18" s="31" t="s">
        <v>231</v>
      </c>
      <c r="FU18" s="31" t="s">
        <v>56</v>
      </c>
      <c r="FV18" s="31">
        <v>30</v>
      </c>
      <c r="FW18" s="31" t="s">
        <v>231</v>
      </c>
      <c r="FX18" s="31" t="s">
        <v>56</v>
      </c>
      <c r="FY18" s="31">
        <v>30</v>
      </c>
      <c r="FZ18" s="31" t="s">
        <v>231</v>
      </c>
      <c r="GA18" s="31" t="s">
        <v>56</v>
      </c>
      <c r="GB18" s="31">
        <v>35</v>
      </c>
      <c r="GC18" s="31" t="s">
        <v>231</v>
      </c>
      <c r="GD18" s="31" t="s">
        <v>56</v>
      </c>
      <c r="GE18" s="31">
        <v>30</v>
      </c>
      <c r="GF18" s="31" t="s">
        <v>231</v>
      </c>
      <c r="GG18" s="31" t="s">
        <v>56</v>
      </c>
      <c r="GH18" s="31">
        <v>30</v>
      </c>
      <c r="GI18" s="31" t="s">
        <v>231</v>
      </c>
      <c r="GJ18" s="31" t="s">
        <v>56</v>
      </c>
      <c r="GK18" s="31">
        <v>12</v>
      </c>
      <c r="GL18" s="31" t="s">
        <v>231</v>
      </c>
      <c r="GM18" s="31" t="s">
        <v>56</v>
      </c>
      <c r="GN18" s="31">
        <v>12</v>
      </c>
      <c r="GO18" s="31" t="s">
        <v>231</v>
      </c>
      <c r="GP18" s="31" t="s">
        <v>56</v>
      </c>
      <c r="GQ18" s="31">
        <v>30</v>
      </c>
      <c r="GR18" s="31" t="s">
        <v>231</v>
      </c>
      <c r="GS18" s="31" t="s">
        <v>56</v>
      </c>
      <c r="GT18" s="31">
        <v>30</v>
      </c>
      <c r="GU18" s="31" t="s">
        <v>231</v>
      </c>
      <c r="GV18" s="31" t="s">
        <v>56</v>
      </c>
      <c r="GW18" s="31">
        <v>6</v>
      </c>
      <c r="GX18" s="34" t="s">
        <v>231</v>
      </c>
      <c r="GY18" s="31" t="s">
        <v>56</v>
      </c>
      <c r="GZ18" s="31">
        <v>6</v>
      </c>
      <c r="HA18" s="34" t="s">
        <v>231</v>
      </c>
      <c r="HB18" s="31" t="s">
        <v>56</v>
      </c>
      <c r="HC18" s="31">
        <v>20</v>
      </c>
      <c r="HD18" s="31" t="s">
        <v>231</v>
      </c>
      <c r="HE18" s="31" t="s">
        <v>56</v>
      </c>
      <c r="HF18" s="31">
        <v>20</v>
      </c>
      <c r="HG18" s="31" t="s">
        <v>231</v>
      </c>
      <c r="HH18" s="32" t="s">
        <v>56</v>
      </c>
      <c r="HI18" s="1"/>
      <c r="HJ18" s="33">
        <v>1</v>
      </c>
      <c r="HK18" s="45" t="str">
        <f>'Neocate® &amp; Pepticate™ DRI Calc'!$K48</f>
        <v>Calcium</v>
      </c>
      <c r="HL18" s="30">
        <v>1300</v>
      </c>
      <c r="HM18" s="31" t="s">
        <v>232</v>
      </c>
      <c r="HN18" s="31" t="s">
        <v>45</v>
      </c>
      <c r="HO18" s="31">
        <v>1300</v>
      </c>
      <c r="HP18" s="31" t="s">
        <v>232</v>
      </c>
      <c r="HQ18" s="31" t="s">
        <v>45</v>
      </c>
      <c r="HR18" s="31">
        <v>1200</v>
      </c>
      <c r="HS18" s="31" t="s">
        <v>232</v>
      </c>
      <c r="HT18" s="31" t="s">
        <v>45</v>
      </c>
      <c r="HU18" s="31">
        <v>1200</v>
      </c>
      <c r="HV18" s="31" t="s">
        <v>232</v>
      </c>
      <c r="HW18" s="31" t="s">
        <v>45</v>
      </c>
      <c r="HX18" s="31">
        <v>200</v>
      </c>
      <c r="HY18" s="34" t="s">
        <v>231</v>
      </c>
      <c r="HZ18" s="31" t="s">
        <v>45</v>
      </c>
      <c r="IA18" s="31">
        <v>200</v>
      </c>
      <c r="IB18" s="34" t="s">
        <v>231</v>
      </c>
      <c r="IC18" s="31" t="s">
        <v>45</v>
      </c>
      <c r="ID18" s="31">
        <v>700</v>
      </c>
      <c r="IE18" s="31" t="s">
        <v>232</v>
      </c>
      <c r="IF18" s="31" t="s">
        <v>45</v>
      </c>
      <c r="IG18" s="31">
        <v>700</v>
      </c>
      <c r="IH18" s="31" t="s">
        <v>232</v>
      </c>
      <c r="II18" s="31" t="s">
        <v>45</v>
      </c>
      <c r="IJ18" s="31">
        <v>1300</v>
      </c>
      <c r="IK18" s="31" t="s">
        <v>232</v>
      </c>
      <c r="IL18" s="31" t="s">
        <v>45</v>
      </c>
      <c r="IM18" s="31">
        <v>1300</v>
      </c>
      <c r="IN18" s="31" t="s">
        <v>232</v>
      </c>
      <c r="IO18" s="31" t="s">
        <v>45</v>
      </c>
      <c r="IP18" s="31">
        <v>1000</v>
      </c>
      <c r="IQ18" s="31" t="s">
        <v>232</v>
      </c>
      <c r="IR18" s="31" t="s">
        <v>45</v>
      </c>
      <c r="IS18" s="31">
        <v>1000</v>
      </c>
      <c r="IT18" s="31" t="s">
        <v>232</v>
      </c>
      <c r="IU18" s="31" t="s">
        <v>45</v>
      </c>
      <c r="IV18" s="31">
        <v>1000</v>
      </c>
      <c r="IW18" s="31" t="s">
        <v>232</v>
      </c>
      <c r="IX18" s="31" t="s">
        <v>45</v>
      </c>
      <c r="IY18" s="31">
        <v>1000</v>
      </c>
      <c r="IZ18" s="31" t="s">
        <v>232</v>
      </c>
      <c r="JA18" s="31" t="s">
        <v>45</v>
      </c>
      <c r="JB18" s="31">
        <v>1000</v>
      </c>
      <c r="JC18" s="31" t="s">
        <v>232</v>
      </c>
      <c r="JD18" s="31" t="s">
        <v>45</v>
      </c>
      <c r="JE18" s="31">
        <v>1000</v>
      </c>
      <c r="JF18" s="31" t="s">
        <v>232</v>
      </c>
      <c r="JG18" s="31" t="s">
        <v>45</v>
      </c>
      <c r="JH18" s="31">
        <v>1000</v>
      </c>
      <c r="JI18" s="31" t="s">
        <v>232</v>
      </c>
      <c r="JJ18" s="31" t="s">
        <v>45</v>
      </c>
      <c r="JK18" s="31">
        <v>1000</v>
      </c>
      <c r="JL18" s="31" t="s">
        <v>232</v>
      </c>
      <c r="JM18" s="31" t="s">
        <v>45</v>
      </c>
      <c r="JN18" s="31">
        <v>1000</v>
      </c>
      <c r="JO18" s="31" t="s">
        <v>232</v>
      </c>
      <c r="JP18" s="31" t="s">
        <v>45</v>
      </c>
      <c r="JQ18" s="31">
        <v>1000</v>
      </c>
      <c r="JR18" s="31" t="s">
        <v>232</v>
      </c>
      <c r="JS18" s="31" t="s">
        <v>45</v>
      </c>
      <c r="JT18" s="31">
        <v>1200</v>
      </c>
      <c r="JU18" s="31" t="s">
        <v>232</v>
      </c>
      <c r="JV18" s="31" t="s">
        <v>45</v>
      </c>
      <c r="JW18" s="31">
        <v>1000</v>
      </c>
      <c r="JX18" s="31" t="s">
        <v>232</v>
      </c>
      <c r="JY18" s="31" t="s">
        <v>45</v>
      </c>
      <c r="JZ18" s="31">
        <v>260</v>
      </c>
      <c r="KA18" s="34" t="s">
        <v>231</v>
      </c>
      <c r="KB18" s="31" t="s">
        <v>45</v>
      </c>
      <c r="KC18" s="31">
        <v>260</v>
      </c>
      <c r="KD18" s="34" t="s">
        <v>231</v>
      </c>
      <c r="KE18" s="31" t="s">
        <v>45</v>
      </c>
      <c r="KF18" s="31">
        <v>1300</v>
      </c>
      <c r="KG18" s="31" t="s">
        <v>232</v>
      </c>
      <c r="KH18" s="31" t="s">
        <v>45</v>
      </c>
      <c r="KI18" s="31">
        <v>1300</v>
      </c>
      <c r="KJ18" s="31" t="s">
        <v>232</v>
      </c>
      <c r="KK18" s="32" t="s">
        <v>45</v>
      </c>
      <c r="KL18" s="1"/>
      <c r="KM18" s="93"/>
      <c r="KN18" s="129">
        <f>'Mixing &amp; Measures Tool'!B58*'Mixing &amp; Measures Tool'!D58</f>
        <v>0</v>
      </c>
      <c r="KO18" s="130">
        <f>SUM(KN16:KN18)</f>
        <v>240</v>
      </c>
    </row>
    <row r="19" spans="1:301" ht="21">
      <c r="A19" s="92"/>
      <c r="B19" s="92"/>
      <c r="C19" s="79"/>
      <c r="D19" s="80"/>
      <c r="E19" s="80"/>
      <c r="F19" s="80"/>
      <c r="G19" s="80"/>
      <c r="H19" s="80"/>
      <c r="I19" s="80"/>
      <c r="J19" s="80"/>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4"/>
      <c r="BN19" s="74"/>
      <c r="BO19" s="74"/>
      <c r="BP19" s="74"/>
      <c r="BQ19" s="74"/>
      <c r="BR19" s="74"/>
      <c r="BS19" s="74"/>
      <c r="BT19" s="74"/>
      <c r="BU19" s="74"/>
      <c r="BV19" s="74"/>
      <c r="BW19" s="74"/>
      <c r="BX19" s="74"/>
      <c r="BY19" s="74"/>
      <c r="BZ19" s="74"/>
      <c r="CA19" s="74"/>
      <c r="CB19" s="116"/>
      <c r="CC19" s="124" t="s">
        <v>233</v>
      </c>
      <c r="CD19" s="35">
        <v>4</v>
      </c>
      <c r="CE19" s="36" t="str">
        <f>'Neocate® &amp; Pepticate™ DRI Calc'!$K17</f>
        <v>as LCT</v>
      </c>
      <c r="CF19" s="37"/>
      <c r="CG19" s="1"/>
      <c r="CH19" s="1"/>
      <c r="CI19" s="1"/>
      <c r="CJ19" s="1"/>
      <c r="CK19" s="1"/>
      <c r="CL19" s="1"/>
      <c r="CM19" s="1"/>
      <c r="CN19" s="1"/>
      <c r="CO19" s="1"/>
      <c r="CP19" s="1"/>
      <c r="CQ19" s="36"/>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43"/>
      <c r="EF19" s="126"/>
      <c r="EG19" s="46">
        <v>15</v>
      </c>
      <c r="EH19" s="26" t="str">
        <f>'Neocate® &amp; Pepticate™ DRI Calc'!$K44</f>
        <v>Choline</v>
      </c>
      <c r="EI19" s="37">
        <v>550</v>
      </c>
      <c r="EJ19" s="1" t="s">
        <v>231</v>
      </c>
      <c r="EK19" s="1" t="s">
        <v>45</v>
      </c>
      <c r="EL19" s="1">
        <v>450</v>
      </c>
      <c r="EM19" s="1" t="s">
        <v>231</v>
      </c>
      <c r="EN19" s="1" t="s">
        <v>45</v>
      </c>
      <c r="EO19" s="1">
        <v>425</v>
      </c>
      <c r="EP19" s="1" t="s">
        <v>231</v>
      </c>
      <c r="EQ19" s="1" t="s">
        <v>45</v>
      </c>
      <c r="ER19" s="1">
        <v>550</v>
      </c>
      <c r="ES19" s="1" t="s">
        <v>231</v>
      </c>
      <c r="ET19" s="1" t="s">
        <v>45</v>
      </c>
      <c r="EU19" s="1">
        <v>125</v>
      </c>
      <c r="EV19" s="36" t="s">
        <v>231</v>
      </c>
      <c r="EW19" s="1" t="s">
        <v>45</v>
      </c>
      <c r="EX19" s="1">
        <v>125</v>
      </c>
      <c r="EY19" s="36" t="s">
        <v>231</v>
      </c>
      <c r="EZ19" s="1" t="s">
        <v>45</v>
      </c>
      <c r="FA19" s="1">
        <v>200</v>
      </c>
      <c r="FB19" s="1" t="s">
        <v>231</v>
      </c>
      <c r="FC19" s="1" t="s">
        <v>45</v>
      </c>
      <c r="FD19" s="1">
        <v>200</v>
      </c>
      <c r="FE19" s="1" t="s">
        <v>231</v>
      </c>
      <c r="FF19" s="1" t="s">
        <v>45</v>
      </c>
      <c r="FG19" s="1">
        <v>400</v>
      </c>
      <c r="FH19" s="1" t="s">
        <v>231</v>
      </c>
      <c r="FI19" s="1" t="s">
        <v>45</v>
      </c>
      <c r="FJ19" s="1">
        <v>550</v>
      </c>
      <c r="FK19" s="1" t="s">
        <v>231</v>
      </c>
      <c r="FL19" s="1" t="s">
        <v>45</v>
      </c>
      <c r="FM19" s="1">
        <v>425</v>
      </c>
      <c r="FN19" s="1" t="s">
        <v>231</v>
      </c>
      <c r="FO19" s="1" t="s">
        <v>45</v>
      </c>
      <c r="FP19" s="1">
        <v>550</v>
      </c>
      <c r="FQ19" s="1" t="s">
        <v>231</v>
      </c>
      <c r="FR19" s="1" t="s">
        <v>45</v>
      </c>
      <c r="FS19" s="1">
        <v>550</v>
      </c>
      <c r="FT19" s="1" t="s">
        <v>231</v>
      </c>
      <c r="FU19" s="1" t="s">
        <v>45</v>
      </c>
      <c r="FV19" s="1">
        <v>450</v>
      </c>
      <c r="FW19" s="1" t="s">
        <v>231</v>
      </c>
      <c r="FX19" s="1" t="s">
        <v>45</v>
      </c>
      <c r="FY19" s="1">
        <v>425</v>
      </c>
      <c r="FZ19" s="1" t="s">
        <v>231</v>
      </c>
      <c r="GA19" s="1" t="s">
        <v>45</v>
      </c>
      <c r="GB19" s="1">
        <v>550</v>
      </c>
      <c r="GC19" s="1" t="s">
        <v>231</v>
      </c>
      <c r="GD19" s="1" t="s">
        <v>45</v>
      </c>
      <c r="GE19" s="1">
        <v>550</v>
      </c>
      <c r="GF19" s="1" t="s">
        <v>231</v>
      </c>
      <c r="GG19" s="1" t="s">
        <v>45</v>
      </c>
      <c r="GH19" s="1">
        <v>450</v>
      </c>
      <c r="GI19" s="1" t="s">
        <v>231</v>
      </c>
      <c r="GJ19" s="1" t="s">
        <v>45</v>
      </c>
      <c r="GK19" s="1">
        <v>250</v>
      </c>
      <c r="GL19" s="1" t="s">
        <v>231</v>
      </c>
      <c r="GM19" s="1" t="s">
        <v>45</v>
      </c>
      <c r="GN19" s="1">
        <v>250</v>
      </c>
      <c r="GO19" s="1" t="s">
        <v>231</v>
      </c>
      <c r="GP19" s="1" t="s">
        <v>45</v>
      </c>
      <c r="GQ19" s="1">
        <v>425</v>
      </c>
      <c r="GR19" s="1" t="s">
        <v>231</v>
      </c>
      <c r="GS19" s="1" t="s">
        <v>45</v>
      </c>
      <c r="GT19" s="1">
        <v>550</v>
      </c>
      <c r="GU19" s="1" t="s">
        <v>231</v>
      </c>
      <c r="GV19" s="1" t="s">
        <v>45</v>
      </c>
      <c r="GW19" s="1">
        <v>150</v>
      </c>
      <c r="GX19" s="36" t="s">
        <v>231</v>
      </c>
      <c r="GY19" s="1" t="s">
        <v>45</v>
      </c>
      <c r="GZ19" s="1">
        <v>150</v>
      </c>
      <c r="HA19" s="36" t="s">
        <v>231</v>
      </c>
      <c r="HB19" s="1" t="s">
        <v>45</v>
      </c>
      <c r="HC19" s="1">
        <v>375</v>
      </c>
      <c r="HD19" s="1" t="s">
        <v>231</v>
      </c>
      <c r="HE19" s="1" t="s">
        <v>45</v>
      </c>
      <c r="HF19" s="1">
        <v>375</v>
      </c>
      <c r="HG19" s="1" t="s">
        <v>231</v>
      </c>
      <c r="HH19" s="43" t="s">
        <v>45</v>
      </c>
      <c r="HI19" s="1"/>
      <c r="HJ19" s="35">
        <v>14</v>
      </c>
      <c r="HK19" s="36" t="str">
        <f>'Neocate® &amp; Pepticate™ DRI Calc'!$K61</f>
        <v>Chloride</v>
      </c>
      <c r="HL19" s="37">
        <v>2300</v>
      </c>
      <c r="HM19" s="1" t="s">
        <v>231</v>
      </c>
      <c r="HN19" s="1" t="s">
        <v>45</v>
      </c>
      <c r="HO19" s="1">
        <v>2300</v>
      </c>
      <c r="HP19" s="1" t="s">
        <v>231</v>
      </c>
      <c r="HQ19" s="1" t="s">
        <v>45</v>
      </c>
      <c r="HR19" s="1">
        <v>1800</v>
      </c>
      <c r="HS19" s="1" t="s">
        <v>231</v>
      </c>
      <c r="HT19" s="1" t="s">
        <v>45</v>
      </c>
      <c r="HU19" s="1">
        <v>1800</v>
      </c>
      <c r="HV19" s="1" t="s">
        <v>231</v>
      </c>
      <c r="HW19" s="1" t="s">
        <v>45</v>
      </c>
      <c r="HX19" s="1">
        <v>180</v>
      </c>
      <c r="HY19" s="36" t="s">
        <v>231</v>
      </c>
      <c r="HZ19" s="1" t="s">
        <v>45</v>
      </c>
      <c r="IA19" s="1">
        <v>180</v>
      </c>
      <c r="IB19" s="36" t="s">
        <v>231</v>
      </c>
      <c r="IC19" s="1" t="s">
        <v>45</v>
      </c>
      <c r="ID19" s="1">
        <v>1500</v>
      </c>
      <c r="IE19" s="1" t="s">
        <v>231</v>
      </c>
      <c r="IF19" s="1" t="s">
        <v>45</v>
      </c>
      <c r="IG19" s="1">
        <v>1500</v>
      </c>
      <c r="IH19" s="1" t="s">
        <v>231</v>
      </c>
      <c r="II19" s="1" t="s">
        <v>45</v>
      </c>
      <c r="IJ19" s="1">
        <v>2300</v>
      </c>
      <c r="IK19" s="1" t="s">
        <v>231</v>
      </c>
      <c r="IL19" s="1" t="s">
        <v>45</v>
      </c>
      <c r="IM19" s="1">
        <v>2300</v>
      </c>
      <c r="IN19" s="1" t="s">
        <v>231</v>
      </c>
      <c r="IO19" s="1" t="s">
        <v>45</v>
      </c>
      <c r="IP19" s="1">
        <v>2300</v>
      </c>
      <c r="IQ19" s="1" t="s">
        <v>231</v>
      </c>
      <c r="IR19" s="1" t="s">
        <v>45</v>
      </c>
      <c r="IS19" s="1">
        <v>2300</v>
      </c>
      <c r="IT19" s="1" t="s">
        <v>231</v>
      </c>
      <c r="IU19" s="1" t="s">
        <v>45</v>
      </c>
      <c r="IV19" s="1">
        <v>2300</v>
      </c>
      <c r="IW19" s="1" t="s">
        <v>231</v>
      </c>
      <c r="IX19" s="1" t="s">
        <v>45</v>
      </c>
      <c r="IY19" s="1">
        <v>2300</v>
      </c>
      <c r="IZ19" s="1" t="s">
        <v>231</v>
      </c>
      <c r="JA19" s="1" t="s">
        <v>45</v>
      </c>
      <c r="JB19" s="1">
        <v>2300</v>
      </c>
      <c r="JC19" s="1" t="s">
        <v>231</v>
      </c>
      <c r="JD19" s="1" t="s">
        <v>45</v>
      </c>
      <c r="JE19" s="1">
        <v>2300</v>
      </c>
      <c r="JF19" s="1" t="s">
        <v>231</v>
      </c>
      <c r="JG19" s="1" t="s">
        <v>45</v>
      </c>
      <c r="JH19" s="1">
        <v>2300</v>
      </c>
      <c r="JI19" s="1" t="s">
        <v>231</v>
      </c>
      <c r="JJ19" s="1" t="s">
        <v>45</v>
      </c>
      <c r="JK19" s="1">
        <v>2300</v>
      </c>
      <c r="JL19" s="1" t="s">
        <v>231</v>
      </c>
      <c r="JM19" s="1" t="s">
        <v>45</v>
      </c>
      <c r="JN19" s="1">
        <v>1900</v>
      </c>
      <c r="JO19" s="1" t="s">
        <v>231</v>
      </c>
      <c r="JP19" s="1" t="s">
        <v>45</v>
      </c>
      <c r="JQ19" s="1">
        <v>1900</v>
      </c>
      <c r="JR19" s="1" t="s">
        <v>231</v>
      </c>
      <c r="JS19" s="1" t="s">
        <v>45</v>
      </c>
      <c r="JT19" s="1">
        <v>2000</v>
      </c>
      <c r="JU19" s="1" t="s">
        <v>231</v>
      </c>
      <c r="JV19" s="1" t="s">
        <v>45</v>
      </c>
      <c r="JW19" s="1">
        <v>2000</v>
      </c>
      <c r="JX19" s="1" t="s">
        <v>231</v>
      </c>
      <c r="JY19" s="1" t="s">
        <v>45</v>
      </c>
      <c r="JZ19" s="1">
        <v>570</v>
      </c>
      <c r="KA19" s="36" t="s">
        <v>231</v>
      </c>
      <c r="KB19" s="1" t="s">
        <v>45</v>
      </c>
      <c r="KC19" s="1">
        <v>570</v>
      </c>
      <c r="KD19" s="36" t="s">
        <v>231</v>
      </c>
      <c r="KE19" s="1" t="s">
        <v>45</v>
      </c>
      <c r="KF19" s="1">
        <v>2300</v>
      </c>
      <c r="KG19" s="1" t="s">
        <v>231</v>
      </c>
      <c r="KH19" s="1" t="s">
        <v>45</v>
      </c>
      <c r="KI19" s="1">
        <v>2300</v>
      </c>
      <c r="KJ19" s="1" t="s">
        <v>231</v>
      </c>
      <c r="KK19" s="43" t="s">
        <v>45</v>
      </c>
      <c r="KL19" s="1"/>
      <c r="KM19" s="93"/>
      <c r="KN19" s="129">
        <f>'Mixing &amp; Measures Tool'!B59*'Mixing &amp; Measures Tool'!D59</f>
        <v>0</v>
      </c>
      <c r="KO19" s="130">
        <f>SUM(KN16:KN19)</f>
        <v>240</v>
      </c>
    </row>
    <row r="20" spans="1:301" ht="21">
      <c r="A20" s="92"/>
      <c r="B20" s="92"/>
      <c r="C20" s="92"/>
      <c r="D20" s="80"/>
      <c r="E20" s="80"/>
      <c r="F20" s="80"/>
      <c r="G20" s="80"/>
      <c r="H20" s="80"/>
      <c r="I20" s="80"/>
      <c r="J20" s="80"/>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4"/>
      <c r="BN20" s="74"/>
      <c r="BO20" s="74"/>
      <c r="BP20" s="74"/>
      <c r="BQ20" s="74"/>
      <c r="BR20" s="74"/>
      <c r="BS20" s="74"/>
      <c r="BT20" s="74"/>
      <c r="BU20" s="74"/>
      <c r="BV20" s="74"/>
      <c r="BW20" s="74"/>
      <c r="BX20" s="74"/>
      <c r="BY20" s="74"/>
      <c r="BZ20" s="74"/>
      <c r="CA20" s="74"/>
      <c r="CB20" s="116"/>
      <c r="CC20" s="124" t="s">
        <v>234</v>
      </c>
      <c r="CD20" s="35">
        <v>5</v>
      </c>
      <c r="CE20" s="36" t="str">
        <f>'Neocate® &amp; Pepticate™ DRI Calc'!$K18</f>
        <v>as MCT</v>
      </c>
      <c r="CF20" s="37"/>
      <c r="CG20" s="1"/>
      <c r="CH20" s="1"/>
      <c r="CI20" s="1"/>
      <c r="CJ20" s="1"/>
      <c r="CK20" s="1"/>
      <c r="CL20" s="1"/>
      <c r="CM20" s="1"/>
      <c r="CN20" s="1"/>
      <c r="CO20" s="1"/>
      <c r="CP20" s="1"/>
      <c r="CQ20" s="36"/>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43"/>
      <c r="EF20" s="126"/>
      <c r="EG20" s="46">
        <v>11</v>
      </c>
      <c r="EH20" s="26" t="str">
        <f>'Neocate® &amp; Pepticate™ DRI Calc'!$K40</f>
        <v>Folic Acid (B9)</v>
      </c>
      <c r="EI20" s="37">
        <v>500</v>
      </c>
      <c r="EJ20" s="1" t="s">
        <v>232</v>
      </c>
      <c r="EK20" s="1" t="s">
        <v>70</v>
      </c>
      <c r="EL20" s="1">
        <v>600</v>
      </c>
      <c r="EM20" s="1" t="s">
        <v>232</v>
      </c>
      <c r="EN20" s="1" t="s">
        <v>70</v>
      </c>
      <c r="EO20" s="1">
        <v>400</v>
      </c>
      <c r="EP20" s="1" t="s">
        <v>232</v>
      </c>
      <c r="EQ20" s="1" t="s">
        <v>70</v>
      </c>
      <c r="ER20" s="1">
        <v>400</v>
      </c>
      <c r="ES20" s="1" t="s">
        <v>232</v>
      </c>
      <c r="ET20" s="1" t="s">
        <v>70</v>
      </c>
      <c r="EU20" s="1">
        <v>65</v>
      </c>
      <c r="EV20" s="36" t="s">
        <v>231</v>
      </c>
      <c r="EW20" s="1" t="s">
        <v>70</v>
      </c>
      <c r="EX20" s="1">
        <v>65</v>
      </c>
      <c r="EY20" s="36" t="s">
        <v>231</v>
      </c>
      <c r="EZ20" s="1" t="s">
        <v>70</v>
      </c>
      <c r="FA20" s="1">
        <v>150</v>
      </c>
      <c r="FB20" s="1" t="s">
        <v>232</v>
      </c>
      <c r="FC20" s="1" t="s">
        <v>70</v>
      </c>
      <c r="FD20" s="1">
        <v>150</v>
      </c>
      <c r="FE20" s="1" t="s">
        <v>232</v>
      </c>
      <c r="FF20" s="1" t="s">
        <v>70</v>
      </c>
      <c r="FG20" s="1">
        <v>400</v>
      </c>
      <c r="FH20" s="1" t="s">
        <v>232</v>
      </c>
      <c r="FI20" s="1" t="s">
        <v>70</v>
      </c>
      <c r="FJ20" s="1">
        <v>400</v>
      </c>
      <c r="FK20" s="1" t="s">
        <v>232</v>
      </c>
      <c r="FL20" s="1" t="s">
        <v>70</v>
      </c>
      <c r="FM20" s="1">
        <v>400</v>
      </c>
      <c r="FN20" s="1" t="s">
        <v>232</v>
      </c>
      <c r="FO20" s="1" t="s">
        <v>70</v>
      </c>
      <c r="FP20" s="1">
        <v>500</v>
      </c>
      <c r="FQ20" s="1" t="s">
        <v>232</v>
      </c>
      <c r="FR20" s="1" t="s">
        <v>70</v>
      </c>
      <c r="FS20" s="1">
        <v>400</v>
      </c>
      <c r="FT20" s="1" t="s">
        <v>232</v>
      </c>
      <c r="FU20" s="1" t="s">
        <v>70</v>
      </c>
      <c r="FV20" s="1">
        <v>600</v>
      </c>
      <c r="FW20" s="1" t="s">
        <v>232</v>
      </c>
      <c r="FX20" s="1" t="s">
        <v>70</v>
      </c>
      <c r="FY20" s="1">
        <v>400</v>
      </c>
      <c r="FZ20" s="1" t="s">
        <v>232</v>
      </c>
      <c r="GA20" s="1" t="s">
        <v>70</v>
      </c>
      <c r="GB20" s="1">
        <v>500</v>
      </c>
      <c r="GC20" s="1" t="s">
        <v>232</v>
      </c>
      <c r="GD20" s="1" t="s">
        <v>70</v>
      </c>
      <c r="GE20" s="1">
        <v>400</v>
      </c>
      <c r="GF20" s="1" t="s">
        <v>232</v>
      </c>
      <c r="GG20" s="1" t="s">
        <v>70</v>
      </c>
      <c r="GH20" s="1">
        <v>600</v>
      </c>
      <c r="GI20" s="1" t="s">
        <v>232</v>
      </c>
      <c r="GJ20" s="1" t="s">
        <v>70</v>
      </c>
      <c r="GK20" s="1">
        <v>200</v>
      </c>
      <c r="GL20" s="1" t="s">
        <v>232</v>
      </c>
      <c r="GM20" s="1" t="s">
        <v>70</v>
      </c>
      <c r="GN20" s="1">
        <v>200</v>
      </c>
      <c r="GO20" s="1" t="s">
        <v>232</v>
      </c>
      <c r="GP20" s="1" t="s">
        <v>70</v>
      </c>
      <c r="GQ20" s="1">
        <v>400</v>
      </c>
      <c r="GR20" s="1" t="s">
        <v>232</v>
      </c>
      <c r="GS20" s="1" t="s">
        <v>70</v>
      </c>
      <c r="GT20" s="1">
        <v>400</v>
      </c>
      <c r="GU20" s="1" t="s">
        <v>232</v>
      </c>
      <c r="GV20" s="1" t="s">
        <v>70</v>
      </c>
      <c r="GW20" s="1">
        <v>80</v>
      </c>
      <c r="GX20" s="36" t="s">
        <v>231</v>
      </c>
      <c r="GY20" s="1" t="s">
        <v>70</v>
      </c>
      <c r="GZ20" s="1">
        <v>80</v>
      </c>
      <c r="HA20" s="36" t="s">
        <v>231</v>
      </c>
      <c r="HB20" s="1" t="s">
        <v>70</v>
      </c>
      <c r="HC20" s="1">
        <v>300</v>
      </c>
      <c r="HD20" s="1" t="s">
        <v>232</v>
      </c>
      <c r="HE20" s="1" t="s">
        <v>70</v>
      </c>
      <c r="HF20" s="1">
        <v>300</v>
      </c>
      <c r="HG20" s="1" t="s">
        <v>232</v>
      </c>
      <c r="HH20" s="43" t="s">
        <v>70</v>
      </c>
      <c r="HI20" s="1"/>
      <c r="HJ20" s="35">
        <v>10</v>
      </c>
      <c r="HK20" s="36" t="str">
        <f>'Neocate® &amp; Pepticate™ DRI Calc'!$K57</f>
        <v>Chromium</v>
      </c>
      <c r="HL20" s="37">
        <v>44</v>
      </c>
      <c r="HM20" s="1" t="s">
        <v>231</v>
      </c>
      <c r="HN20" s="1" t="s">
        <v>56</v>
      </c>
      <c r="HO20" s="1">
        <v>29</v>
      </c>
      <c r="HP20" s="1" t="s">
        <v>231</v>
      </c>
      <c r="HQ20" s="1" t="s">
        <v>56</v>
      </c>
      <c r="HR20" s="1">
        <v>20</v>
      </c>
      <c r="HS20" s="1" t="s">
        <v>231</v>
      </c>
      <c r="HT20" s="1" t="s">
        <v>56</v>
      </c>
      <c r="HU20" s="1">
        <v>30</v>
      </c>
      <c r="HV20" s="1" t="s">
        <v>231</v>
      </c>
      <c r="HW20" s="1" t="s">
        <v>56</v>
      </c>
      <c r="HX20" s="1">
        <v>0.2</v>
      </c>
      <c r="HY20" s="36" t="s">
        <v>231</v>
      </c>
      <c r="HZ20" s="1" t="s">
        <v>56</v>
      </c>
      <c r="IA20" s="1">
        <v>0.2</v>
      </c>
      <c r="IB20" s="36" t="s">
        <v>231</v>
      </c>
      <c r="IC20" s="1" t="s">
        <v>56</v>
      </c>
      <c r="ID20" s="1">
        <v>11</v>
      </c>
      <c r="IE20" s="1" t="s">
        <v>231</v>
      </c>
      <c r="IF20" s="1" t="s">
        <v>56</v>
      </c>
      <c r="IG20" s="1">
        <v>11</v>
      </c>
      <c r="IH20" s="1" t="s">
        <v>231</v>
      </c>
      <c r="II20" s="1" t="s">
        <v>56</v>
      </c>
      <c r="IJ20" s="1">
        <v>24</v>
      </c>
      <c r="IK20" s="1" t="s">
        <v>231</v>
      </c>
      <c r="IL20" s="1" t="s">
        <v>56</v>
      </c>
      <c r="IM20" s="1">
        <v>35</v>
      </c>
      <c r="IN20" s="1" t="s">
        <v>231</v>
      </c>
      <c r="IO20" s="1" t="s">
        <v>56</v>
      </c>
      <c r="IP20" s="1">
        <v>25</v>
      </c>
      <c r="IQ20" s="1" t="s">
        <v>231</v>
      </c>
      <c r="IR20" s="1" t="s">
        <v>56</v>
      </c>
      <c r="IS20" s="1">
        <v>45</v>
      </c>
      <c r="IT20" s="1" t="s">
        <v>231</v>
      </c>
      <c r="IU20" s="1" t="s">
        <v>56</v>
      </c>
      <c r="IV20" s="1">
        <v>35</v>
      </c>
      <c r="IW20" s="1" t="s">
        <v>231</v>
      </c>
      <c r="IX20" s="1" t="s">
        <v>56</v>
      </c>
      <c r="IY20" s="1">
        <v>30</v>
      </c>
      <c r="IZ20" s="1" t="s">
        <v>231</v>
      </c>
      <c r="JA20" s="1" t="s">
        <v>56</v>
      </c>
      <c r="JB20" s="1">
        <v>25</v>
      </c>
      <c r="JC20" s="1" t="s">
        <v>231</v>
      </c>
      <c r="JD20" s="1" t="s">
        <v>56</v>
      </c>
      <c r="JE20" s="1">
        <v>45</v>
      </c>
      <c r="JF20" s="1" t="s">
        <v>231</v>
      </c>
      <c r="JG20" s="1" t="s">
        <v>56</v>
      </c>
      <c r="JH20" s="1">
        <v>35</v>
      </c>
      <c r="JI20" s="1" t="s">
        <v>231</v>
      </c>
      <c r="JJ20" s="1" t="s">
        <v>56</v>
      </c>
      <c r="JK20" s="1">
        <v>30</v>
      </c>
      <c r="JL20" s="1" t="s">
        <v>231</v>
      </c>
      <c r="JM20" s="1" t="s">
        <v>56</v>
      </c>
      <c r="JN20" s="1">
        <v>15</v>
      </c>
      <c r="JO20" s="1" t="s">
        <v>231</v>
      </c>
      <c r="JP20" s="1" t="s">
        <v>56</v>
      </c>
      <c r="JQ20" s="1">
        <v>15</v>
      </c>
      <c r="JR20" s="1" t="s">
        <v>231</v>
      </c>
      <c r="JS20" s="1" t="s">
        <v>56</v>
      </c>
      <c r="JT20" s="1">
        <v>20</v>
      </c>
      <c r="JU20" s="1" t="s">
        <v>231</v>
      </c>
      <c r="JV20" s="1" t="s">
        <v>56</v>
      </c>
      <c r="JW20" s="1">
        <v>30</v>
      </c>
      <c r="JX20" s="1" t="s">
        <v>231</v>
      </c>
      <c r="JY20" s="1" t="s">
        <v>56</v>
      </c>
      <c r="JZ20" s="1">
        <v>5.5</v>
      </c>
      <c r="KA20" s="36" t="s">
        <v>231</v>
      </c>
      <c r="KB20" s="1" t="s">
        <v>56</v>
      </c>
      <c r="KC20" s="1">
        <v>5.5</v>
      </c>
      <c r="KD20" s="36" t="s">
        <v>231</v>
      </c>
      <c r="KE20" s="1" t="s">
        <v>56</v>
      </c>
      <c r="KF20" s="1">
        <v>21</v>
      </c>
      <c r="KG20" s="1" t="s">
        <v>231</v>
      </c>
      <c r="KH20" s="1" t="s">
        <v>56</v>
      </c>
      <c r="KI20" s="1">
        <v>25</v>
      </c>
      <c r="KJ20" s="1" t="s">
        <v>231</v>
      </c>
      <c r="KK20" s="43" t="s">
        <v>56</v>
      </c>
      <c r="KL20" s="1"/>
      <c r="KM20" s="93"/>
      <c r="KN20" s="129">
        <f>'Mixing &amp; Measures Tool'!B60*'Mixing &amp; Measures Tool'!D60</f>
        <v>7.5</v>
      </c>
      <c r="KO20" s="130">
        <f>SUM(KN16:KN20)</f>
        <v>247.5</v>
      </c>
    </row>
    <row r="21" spans="1:301" ht="21">
      <c r="A21" s="92"/>
      <c r="B21" s="92"/>
      <c r="C21" s="92"/>
      <c r="D21" s="80"/>
      <c r="E21" s="80"/>
      <c r="F21" s="80"/>
      <c r="G21" s="80"/>
      <c r="H21" s="80"/>
      <c r="I21" s="80"/>
      <c r="J21" s="80"/>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4"/>
      <c r="BN21" s="74"/>
      <c r="BO21" s="74"/>
      <c r="BP21" s="74"/>
      <c r="BQ21" s="74"/>
      <c r="BR21" s="74"/>
      <c r="BS21" s="74"/>
      <c r="BT21" s="74"/>
      <c r="BU21" s="74"/>
      <c r="BV21" s="74"/>
      <c r="BW21" s="74"/>
      <c r="BX21" s="74"/>
      <c r="BY21" s="74"/>
      <c r="BZ21" s="74"/>
      <c r="CA21" s="74"/>
      <c r="CB21" s="116"/>
      <c r="CC21" s="124" t="s">
        <v>235</v>
      </c>
      <c r="CD21" s="35">
        <v>10</v>
      </c>
      <c r="CE21" s="36" t="str">
        <f>'Neocate® &amp; Pepticate™ DRI Calc'!$K12</f>
        <v>Carbohydrate</v>
      </c>
      <c r="CF21" s="37">
        <v>210</v>
      </c>
      <c r="CG21" s="36" t="s">
        <v>232</v>
      </c>
      <c r="CH21" s="1">
        <v>175</v>
      </c>
      <c r="CI21" s="36" t="s">
        <v>232</v>
      </c>
      <c r="CJ21" s="1">
        <v>130</v>
      </c>
      <c r="CK21" s="36" t="s">
        <v>232</v>
      </c>
      <c r="CL21" s="1">
        <v>130</v>
      </c>
      <c r="CM21" s="36" t="s">
        <v>232</v>
      </c>
      <c r="CN21" s="1">
        <v>60</v>
      </c>
      <c r="CO21" s="36" t="s">
        <v>231</v>
      </c>
      <c r="CP21" s="1">
        <v>60</v>
      </c>
      <c r="CQ21" s="36" t="s">
        <v>231</v>
      </c>
      <c r="CR21" s="1">
        <v>130</v>
      </c>
      <c r="CS21" s="36" t="s">
        <v>232</v>
      </c>
      <c r="CT21" s="1">
        <v>130</v>
      </c>
      <c r="CU21" s="36" t="s">
        <v>232</v>
      </c>
      <c r="CV21" s="1">
        <v>130</v>
      </c>
      <c r="CW21" s="36" t="s">
        <v>232</v>
      </c>
      <c r="CX21" s="1">
        <v>130</v>
      </c>
      <c r="CY21" s="36" t="s">
        <v>232</v>
      </c>
      <c r="CZ21" s="1">
        <v>130</v>
      </c>
      <c r="DA21" s="36" t="s">
        <v>232</v>
      </c>
      <c r="DB21" s="1">
        <v>210</v>
      </c>
      <c r="DC21" s="36" t="s">
        <v>232</v>
      </c>
      <c r="DD21" s="1">
        <v>130</v>
      </c>
      <c r="DE21" s="36" t="s">
        <v>232</v>
      </c>
      <c r="DF21" s="1">
        <v>175</v>
      </c>
      <c r="DG21" s="36" t="s">
        <v>232</v>
      </c>
      <c r="DH21" s="1">
        <v>130</v>
      </c>
      <c r="DI21" s="36" t="s">
        <v>232</v>
      </c>
      <c r="DJ21" s="1">
        <v>210</v>
      </c>
      <c r="DK21" s="36" t="s">
        <v>232</v>
      </c>
      <c r="DL21" s="1">
        <v>130</v>
      </c>
      <c r="DM21" s="36" t="s">
        <v>232</v>
      </c>
      <c r="DN21" s="1">
        <v>175</v>
      </c>
      <c r="DO21" s="36" t="s">
        <v>232</v>
      </c>
      <c r="DP21" s="1">
        <v>130</v>
      </c>
      <c r="DQ21" s="36" t="s">
        <v>232</v>
      </c>
      <c r="DR21" s="1">
        <v>130</v>
      </c>
      <c r="DS21" s="36" t="s">
        <v>232</v>
      </c>
      <c r="DT21" s="1">
        <v>130</v>
      </c>
      <c r="DU21" s="36" t="s">
        <v>232</v>
      </c>
      <c r="DV21" s="1">
        <v>130</v>
      </c>
      <c r="DW21" s="36" t="s">
        <v>232</v>
      </c>
      <c r="DX21" s="1">
        <v>95</v>
      </c>
      <c r="DY21" s="36" t="s">
        <v>231</v>
      </c>
      <c r="DZ21" s="1">
        <v>95</v>
      </c>
      <c r="EA21" s="36" t="s">
        <v>231</v>
      </c>
      <c r="EB21" s="1">
        <v>130</v>
      </c>
      <c r="EC21" s="36" t="s">
        <v>232</v>
      </c>
      <c r="ED21" s="1">
        <v>130</v>
      </c>
      <c r="EE21" s="136" t="s">
        <v>232</v>
      </c>
      <c r="EF21" s="126"/>
      <c r="EG21" s="46">
        <v>16</v>
      </c>
      <c r="EH21" s="26" t="str">
        <f>'Neocate® &amp; Pepticate™ DRI Calc'!$K45</f>
        <v>Inositol</v>
      </c>
      <c r="EI21" s="37"/>
      <c r="EJ21" s="1" t="s">
        <v>236</v>
      </c>
      <c r="EK21" s="1"/>
      <c r="EL21" s="1"/>
      <c r="EM21" s="1" t="s">
        <v>236</v>
      </c>
      <c r="EN21" s="1"/>
      <c r="EO21" s="1"/>
      <c r="EP21" s="1" t="s">
        <v>236</v>
      </c>
      <c r="EQ21" s="1"/>
      <c r="ER21" s="1"/>
      <c r="ES21" s="1" t="s">
        <v>236</v>
      </c>
      <c r="ET21" s="1"/>
      <c r="EU21" s="1" t="s">
        <v>39</v>
      </c>
      <c r="EV21" s="36" t="s">
        <v>231</v>
      </c>
      <c r="EW21" s="1" t="s">
        <v>45</v>
      </c>
      <c r="EX21" s="1" t="s">
        <v>39</v>
      </c>
      <c r="EY21" s="36" t="s">
        <v>231</v>
      </c>
      <c r="EZ21" s="1" t="s">
        <v>45</v>
      </c>
      <c r="FA21" s="1"/>
      <c r="FB21" s="1" t="s">
        <v>236</v>
      </c>
      <c r="FC21" s="1"/>
      <c r="FD21" s="1"/>
      <c r="FE21" s="1" t="s">
        <v>236</v>
      </c>
      <c r="FF21" s="1"/>
      <c r="FG21" s="1"/>
      <c r="FH21" s="1" t="s">
        <v>236</v>
      </c>
      <c r="FI21" s="1"/>
      <c r="FJ21" s="1"/>
      <c r="FK21" s="1" t="s">
        <v>236</v>
      </c>
      <c r="FL21" s="1"/>
      <c r="FM21" s="1"/>
      <c r="FN21" s="1" t="s">
        <v>236</v>
      </c>
      <c r="FO21" s="1"/>
      <c r="FP21" s="1"/>
      <c r="FQ21" s="1" t="s">
        <v>236</v>
      </c>
      <c r="FR21" s="1"/>
      <c r="FS21" s="1"/>
      <c r="FT21" s="1" t="s">
        <v>236</v>
      </c>
      <c r="FU21" s="1"/>
      <c r="FV21" s="1"/>
      <c r="FW21" s="1" t="s">
        <v>236</v>
      </c>
      <c r="FX21" s="1"/>
      <c r="FY21" s="1"/>
      <c r="FZ21" s="1" t="s">
        <v>236</v>
      </c>
      <c r="GA21" s="1"/>
      <c r="GB21" s="1"/>
      <c r="GC21" s="1" t="s">
        <v>236</v>
      </c>
      <c r="GD21" s="1"/>
      <c r="GE21" s="1"/>
      <c r="GF21" s="1" t="s">
        <v>236</v>
      </c>
      <c r="GG21" s="1"/>
      <c r="GH21" s="1"/>
      <c r="GI21" s="1" t="s">
        <v>236</v>
      </c>
      <c r="GJ21" s="1"/>
      <c r="GK21" s="1"/>
      <c r="GL21" s="1" t="s">
        <v>236</v>
      </c>
      <c r="GM21" s="1"/>
      <c r="GN21" s="1"/>
      <c r="GO21" s="1" t="s">
        <v>236</v>
      </c>
      <c r="GP21" s="1"/>
      <c r="GQ21" s="1"/>
      <c r="GR21" s="1" t="s">
        <v>236</v>
      </c>
      <c r="GS21" s="1"/>
      <c r="GT21" s="1"/>
      <c r="GU21" s="1" t="s">
        <v>236</v>
      </c>
      <c r="GV21" s="1"/>
      <c r="GW21" s="1" t="s">
        <v>39</v>
      </c>
      <c r="GX21" s="36" t="s">
        <v>231</v>
      </c>
      <c r="GY21" s="1" t="s">
        <v>45</v>
      </c>
      <c r="GZ21" s="1" t="s">
        <v>39</v>
      </c>
      <c r="HA21" s="36" t="s">
        <v>231</v>
      </c>
      <c r="HB21" s="1" t="s">
        <v>45</v>
      </c>
      <c r="HC21" s="1"/>
      <c r="HD21" s="1" t="s">
        <v>236</v>
      </c>
      <c r="HE21" s="1"/>
      <c r="HF21" s="1"/>
      <c r="HG21" s="1" t="s">
        <v>236</v>
      </c>
      <c r="HH21" s="43"/>
      <c r="HI21" s="1"/>
      <c r="HJ21" s="35">
        <v>7</v>
      </c>
      <c r="HK21" s="36" t="str">
        <f>'Neocate® &amp; Pepticate™ DRI Calc'!$K54</f>
        <v>Copper</v>
      </c>
      <c r="HL21" s="37">
        <v>1300</v>
      </c>
      <c r="HM21" s="1" t="s">
        <v>232</v>
      </c>
      <c r="HN21" s="1" t="s">
        <v>56</v>
      </c>
      <c r="HO21" s="1">
        <v>1000</v>
      </c>
      <c r="HP21" s="1" t="s">
        <v>232</v>
      </c>
      <c r="HQ21" s="1" t="s">
        <v>56</v>
      </c>
      <c r="HR21" s="1">
        <v>900</v>
      </c>
      <c r="HS21" s="1" t="s">
        <v>232</v>
      </c>
      <c r="HT21" s="1" t="s">
        <v>56</v>
      </c>
      <c r="HU21" s="1">
        <v>900</v>
      </c>
      <c r="HV21" s="1" t="s">
        <v>232</v>
      </c>
      <c r="HW21" s="1" t="s">
        <v>56</v>
      </c>
      <c r="HX21" s="1">
        <v>200</v>
      </c>
      <c r="HY21" s="36" t="s">
        <v>231</v>
      </c>
      <c r="HZ21" s="1" t="s">
        <v>56</v>
      </c>
      <c r="IA21" s="1">
        <v>200</v>
      </c>
      <c r="IB21" s="36" t="s">
        <v>231</v>
      </c>
      <c r="IC21" s="1" t="s">
        <v>56</v>
      </c>
      <c r="ID21" s="1">
        <v>340</v>
      </c>
      <c r="IE21" s="1" t="s">
        <v>232</v>
      </c>
      <c r="IF21" s="1" t="s">
        <v>56</v>
      </c>
      <c r="IG21" s="1">
        <v>340</v>
      </c>
      <c r="IH21" s="1" t="s">
        <v>232</v>
      </c>
      <c r="II21" s="1" t="s">
        <v>56</v>
      </c>
      <c r="IJ21" s="1">
        <v>890</v>
      </c>
      <c r="IK21" s="1" t="s">
        <v>232</v>
      </c>
      <c r="IL21" s="1" t="s">
        <v>56</v>
      </c>
      <c r="IM21" s="1">
        <v>890</v>
      </c>
      <c r="IN21" s="1" t="s">
        <v>232</v>
      </c>
      <c r="IO21" s="1" t="s">
        <v>56</v>
      </c>
      <c r="IP21" s="1">
        <v>900</v>
      </c>
      <c r="IQ21" s="1" t="s">
        <v>232</v>
      </c>
      <c r="IR21" s="1" t="s">
        <v>56</v>
      </c>
      <c r="IS21" s="1">
        <v>1300</v>
      </c>
      <c r="IT21" s="1" t="s">
        <v>232</v>
      </c>
      <c r="IU21" s="1" t="s">
        <v>56</v>
      </c>
      <c r="IV21" s="1">
        <v>900</v>
      </c>
      <c r="IW21" s="1" t="s">
        <v>232</v>
      </c>
      <c r="IX21" s="1" t="s">
        <v>56</v>
      </c>
      <c r="IY21" s="1">
        <v>1000</v>
      </c>
      <c r="IZ21" s="1" t="s">
        <v>232</v>
      </c>
      <c r="JA21" s="1" t="s">
        <v>56</v>
      </c>
      <c r="JB21" s="1">
        <v>900</v>
      </c>
      <c r="JC21" s="1" t="s">
        <v>232</v>
      </c>
      <c r="JD21" s="1" t="s">
        <v>56</v>
      </c>
      <c r="JE21" s="1">
        <v>1300</v>
      </c>
      <c r="JF21" s="1" t="s">
        <v>232</v>
      </c>
      <c r="JG21" s="1" t="s">
        <v>56</v>
      </c>
      <c r="JH21" s="1">
        <v>900</v>
      </c>
      <c r="JI21" s="1" t="s">
        <v>232</v>
      </c>
      <c r="JJ21" s="1" t="s">
        <v>56</v>
      </c>
      <c r="JK21" s="1">
        <v>1000</v>
      </c>
      <c r="JL21" s="1" t="s">
        <v>232</v>
      </c>
      <c r="JM21" s="1" t="s">
        <v>56</v>
      </c>
      <c r="JN21" s="1">
        <v>440</v>
      </c>
      <c r="JO21" s="1" t="s">
        <v>232</v>
      </c>
      <c r="JP21" s="1" t="s">
        <v>56</v>
      </c>
      <c r="JQ21" s="1">
        <v>440</v>
      </c>
      <c r="JR21" s="1" t="s">
        <v>232</v>
      </c>
      <c r="JS21" s="1" t="s">
        <v>56</v>
      </c>
      <c r="JT21" s="1">
        <v>900</v>
      </c>
      <c r="JU21" s="1" t="s">
        <v>232</v>
      </c>
      <c r="JV21" s="1" t="s">
        <v>56</v>
      </c>
      <c r="JW21" s="1">
        <v>900</v>
      </c>
      <c r="JX21" s="1" t="s">
        <v>232</v>
      </c>
      <c r="JY21" s="1" t="s">
        <v>56</v>
      </c>
      <c r="JZ21" s="1">
        <v>220</v>
      </c>
      <c r="KA21" s="36" t="s">
        <v>231</v>
      </c>
      <c r="KB21" s="1" t="s">
        <v>56</v>
      </c>
      <c r="KC21" s="1">
        <v>220</v>
      </c>
      <c r="KD21" s="36" t="s">
        <v>231</v>
      </c>
      <c r="KE21" s="1" t="s">
        <v>56</v>
      </c>
      <c r="KF21" s="1">
        <v>700</v>
      </c>
      <c r="KG21" s="1" t="s">
        <v>232</v>
      </c>
      <c r="KH21" s="1" t="s">
        <v>56</v>
      </c>
      <c r="KI21" s="1">
        <v>700</v>
      </c>
      <c r="KJ21" s="1" t="s">
        <v>232</v>
      </c>
      <c r="KK21" s="43" t="s">
        <v>56</v>
      </c>
      <c r="KL21" s="1"/>
      <c r="KM21" s="93"/>
      <c r="KN21" s="129">
        <f>'Mixing &amp; Measures Tool'!B61*'Mixing &amp; Measures Tool'!D61</f>
        <v>2.5</v>
      </c>
      <c r="KO21" s="130">
        <f>SUM(KN16:KN21)</f>
        <v>250</v>
      </c>
    </row>
    <row r="22" spans="1:301" ht="21">
      <c r="A22" s="92"/>
      <c r="B22" s="92"/>
      <c r="C22" s="92"/>
      <c r="D22" s="80"/>
      <c r="E22" s="80"/>
      <c r="F22" s="80"/>
      <c r="G22" s="80"/>
      <c r="H22" s="80"/>
      <c r="I22" s="80"/>
      <c r="J22" s="80"/>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4"/>
      <c r="BN22" s="74"/>
      <c r="BO22" s="74"/>
      <c r="BP22" s="74"/>
      <c r="BQ22" s="74"/>
      <c r="BR22" s="74"/>
      <c r="BS22" s="74"/>
      <c r="BT22" s="74"/>
      <c r="BU22" s="74"/>
      <c r="BV22" s="74"/>
      <c r="BW22" s="74"/>
      <c r="BX22" s="74"/>
      <c r="BY22" s="74"/>
      <c r="BZ22" s="74"/>
      <c r="CA22" s="74"/>
      <c r="CB22" s="116"/>
      <c r="CC22" s="124" t="s">
        <v>237</v>
      </c>
      <c r="CD22" s="35">
        <v>8</v>
      </c>
      <c r="CE22" s="36" t="str">
        <f>'Neocate® &amp; Pepticate™ DRI Calc'!$K19</f>
        <v>DHA</v>
      </c>
      <c r="CF22" s="37"/>
      <c r="CG22" s="1"/>
      <c r="CH22" s="1"/>
      <c r="CI22" s="1"/>
      <c r="CJ22" s="1"/>
      <c r="CK22" s="1"/>
      <c r="CL22" s="1"/>
      <c r="CM22" s="1"/>
      <c r="CN22" s="1"/>
      <c r="CO22" s="1"/>
      <c r="CP22" s="1"/>
      <c r="CQ22" s="36"/>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43"/>
      <c r="EF22" s="126"/>
      <c r="EG22" s="46">
        <v>10</v>
      </c>
      <c r="EH22" s="26" t="str">
        <f>'Neocate® &amp; Pepticate™ DRI Calc'!$K39</f>
        <v>Niacin (B3)</v>
      </c>
      <c r="EI22" s="37">
        <v>17</v>
      </c>
      <c r="EJ22" s="1" t="s">
        <v>232</v>
      </c>
      <c r="EK22" s="1" t="s">
        <v>45</v>
      </c>
      <c r="EL22" s="1">
        <v>18</v>
      </c>
      <c r="EM22" s="1" t="s">
        <v>232</v>
      </c>
      <c r="EN22" s="1" t="s">
        <v>45</v>
      </c>
      <c r="EO22" s="1">
        <v>14</v>
      </c>
      <c r="EP22" s="1" t="s">
        <v>232</v>
      </c>
      <c r="EQ22" s="1" t="s">
        <v>45</v>
      </c>
      <c r="ER22" s="1">
        <v>16</v>
      </c>
      <c r="ES22" s="1" t="s">
        <v>232</v>
      </c>
      <c r="ET22" s="1" t="s">
        <v>45</v>
      </c>
      <c r="EU22" s="1">
        <v>2000</v>
      </c>
      <c r="EV22" s="36" t="s">
        <v>231</v>
      </c>
      <c r="EW22" s="1" t="s">
        <v>56</v>
      </c>
      <c r="EX22" s="1">
        <v>2000</v>
      </c>
      <c r="EY22" s="36" t="s">
        <v>231</v>
      </c>
      <c r="EZ22" s="1" t="s">
        <v>56</v>
      </c>
      <c r="FA22" s="1">
        <v>6</v>
      </c>
      <c r="FB22" s="1" t="s">
        <v>232</v>
      </c>
      <c r="FC22" s="1" t="s">
        <v>45</v>
      </c>
      <c r="FD22" s="1">
        <v>6</v>
      </c>
      <c r="FE22" s="1" t="s">
        <v>232</v>
      </c>
      <c r="FF22" s="1" t="s">
        <v>45</v>
      </c>
      <c r="FG22" s="1">
        <v>14</v>
      </c>
      <c r="FH22" s="1" t="s">
        <v>232</v>
      </c>
      <c r="FI22" s="1" t="s">
        <v>45</v>
      </c>
      <c r="FJ22" s="1">
        <v>16</v>
      </c>
      <c r="FK22" s="1" t="s">
        <v>232</v>
      </c>
      <c r="FL22" s="1" t="s">
        <v>45</v>
      </c>
      <c r="FM22" s="1">
        <v>14</v>
      </c>
      <c r="FN22" s="1" t="s">
        <v>232</v>
      </c>
      <c r="FO22" s="1" t="s">
        <v>45</v>
      </c>
      <c r="FP22" s="1">
        <v>17</v>
      </c>
      <c r="FQ22" s="1" t="s">
        <v>232</v>
      </c>
      <c r="FR22" s="1" t="s">
        <v>45</v>
      </c>
      <c r="FS22" s="1">
        <v>16</v>
      </c>
      <c r="FT22" s="1" t="s">
        <v>232</v>
      </c>
      <c r="FU22" s="1" t="s">
        <v>45</v>
      </c>
      <c r="FV22" s="1">
        <v>18</v>
      </c>
      <c r="FW22" s="1" t="s">
        <v>232</v>
      </c>
      <c r="FX22" s="1" t="s">
        <v>45</v>
      </c>
      <c r="FY22" s="1">
        <v>14</v>
      </c>
      <c r="FZ22" s="1" t="s">
        <v>232</v>
      </c>
      <c r="GA22" s="1" t="s">
        <v>45</v>
      </c>
      <c r="GB22" s="1">
        <v>17</v>
      </c>
      <c r="GC22" s="1" t="s">
        <v>232</v>
      </c>
      <c r="GD22" s="1" t="s">
        <v>45</v>
      </c>
      <c r="GE22" s="1">
        <v>16</v>
      </c>
      <c r="GF22" s="1" t="s">
        <v>232</v>
      </c>
      <c r="GG22" s="1" t="s">
        <v>45</v>
      </c>
      <c r="GH22" s="1">
        <v>18</v>
      </c>
      <c r="GI22" s="1" t="s">
        <v>232</v>
      </c>
      <c r="GJ22" s="1" t="s">
        <v>45</v>
      </c>
      <c r="GK22" s="1">
        <v>8</v>
      </c>
      <c r="GL22" s="1" t="s">
        <v>232</v>
      </c>
      <c r="GM22" s="1" t="s">
        <v>45</v>
      </c>
      <c r="GN22" s="1">
        <v>8</v>
      </c>
      <c r="GO22" s="1" t="s">
        <v>232</v>
      </c>
      <c r="GP22" s="1" t="s">
        <v>45</v>
      </c>
      <c r="GQ22" s="1">
        <v>14</v>
      </c>
      <c r="GR22" s="1" t="s">
        <v>232</v>
      </c>
      <c r="GS22" s="1" t="s">
        <v>45</v>
      </c>
      <c r="GT22" s="1">
        <v>16</v>
      </c>
      <c r="GU22" s="1" t="s">
        <v>232</v>
      </c>
      <c r="GV22" s="1" t="s">
        <v>45</v>
      </c>
      <c r="GW22" s="1">
        <v>4000</v>
      </c>
      <c r="GX22" s="36" t="s">
        <v>231</v>
      </c>
      <c r="GY22" s="1" t="s">
        <v>56</v>
      </c>
      <c r="GZ22" s="1">
        <v>4000</v>
      </c>
      <c r="HA22" s="36" t="s">
        <v>231</v>
      </c>
      <c r="HB22" s="1" t="s">
        <v>56</v>
      </c>
      <c r="HC22" s="1">
        <v>12</v>
      </c>
      <c r="HD22" s="1" t="s">
        <v>232</v>
      </c>
      <c r="HE22" s="1" t="s">
        <v>45</v>
      </c>
      <c r="HF22" s="1">
        <v>12</v>
      </c>
      <c r="HG22" s="1" t="s">
        <v>232</v>
      </c>
      <c r="HH22" s="43" t="s">
        <v>45</v>
      </c>
      <c r="HI22" s="1"/>
      <c r="HJ22" s="35">
        <v>8</v>
      </c>
      <c r="HK22" s="36" t="str">
        <f>'Neocate® &amp; Pepticate™ DRI Calc'!$K55</f>
        <v>Iodine</v>
      </c>
      <c r="HL22" s="37">
        <v>290</v>
      </c>
      <c r="HM22" s="1" t="s">
        <v>232</v>
      </c>
      <c r="HN22" s="1" t="s">
        <v>56</v>
      </c>
      <c r="HO22" s="1">
        <v>220</v>
      </c>
      <c r="HP22" s="1" t="s">
        <v>232</v>
      </c>
      <c r="HQ22" s="1" t="s">
        <v>56</v>
      </c>
      <c r="HR22" s="1">
        <v>150</v>
      </c>
      <c r="HS22" s="1" t="s">
        <v>232</v>
      </c>
      <c r="HT22" s="1" t="s">
        <v>56</v>
      </c>
      <c r="HU22" s="1">
        <v>150</v>
      </c>
      <c r="HV22" s="1" t="s">
        <v>232</v>
      </c>
      <c r="HW22" s="1" t="s">
        <v>56</v>
      </c>
      <c r="HX22" s="1">
        <v>110</v>
      </c>
      <c r="HY22" s="36" t="s">
        <v>231</v>
      </c>
      <c r="HZ22" s="1" t="s">
        <v>56</v>
      </c>
      <c r="IA22" s="1">
        <v>110</v>
      </c>
      <c r="IB22" s="36" t="s">
        <v>231</v>
      </c>
      <c r="IC22" s="1" t="s">
        <v>56</v>
      </c>
      <c r="ID22" s="1">
        <v>90</v>
      </c>
      <c r="IE22" s="1" t="s">
        <v>232</v>
      </c>
      <c r="IF22" s="1" t="s">
        <v>56</v>
      </c>
      <c r="IG22" s="1">
        <v>90</v>
      </c>
      <c r="IH22" s="1" t="s">
        <v>232</v>
      </c>
      <c r="II22" s="1" t="s">
        <v>56</v>
      </c>
      <c r="IJ22" s="1">
        <v>150</v>
      </c>
      <c r="IK22" s="1" t="s">
        <v>232</v>
      </c>
      <c r="IL22" s="1" t="s">
        <v>56</v>
      </c>
      <c r="IM22" s="1">
        <v>150</v>
      </c>
      <c r="IN22" s="1" t="s">
        <v>232</v>
      </c>
      <c r="IO22" s="1" t="s">
        <v>56</v>
      </c>
      <c r="IP22" s="1">
        <v>150</v>
      </c>
      <c r="IQ22" s="1" t="s">
        <v>232</v>
      </c>
      <c r="IR22" s="1" t="s">
        <v>56</v>
      </c>
      <c r="IS22" s="1">
        <v>290</v>
      </c>
      <c r="IT22" s="1" t="s">
        <v>232</v>
      </c>
      <c r="IU22" s="1" t="s">
        <v>56</v>
      </c>
      <c r="IV22" s="1">
        <v>150</v>
      </c>
      <c r="IW22" s="1" t="s">
        <v>232</v>
      </c>
      <c r="IX22" s="1" t="s">
        <v>56</v>
      </c>
      <c r="IY22" s="1">
        <v>220</v>
      </c>
      <c r="IZ22" s="1" t="s">
        <v>232</v>
      </c>
      <c r="JA22" s="1" t="s">
        <v>56</v>
      </c>
      <c r="JB22" s="1">
        <v>150</v>
      </c>
      <c r="JC22" s="1" t="s">
        <v>232</v>
      </c>
      <c r="JD22" s="1" t="s">
        <v>56</v>
      </c>
      <c r="JE22" s="1">
        <v>290</v>
      </c>
      <c r="JF22" s="1" t="s">
        <v>232</v>
      </c>
      <c r="JG22" s="1" t="s">
        <v>56</v>
      </c>
      <c r="JH22" s="1">
        <v>150</v>
      </c>
      <c r="JI22" s="1" t="s">
        <v>232</v>
      </c>
      <c r="JJ22" s="1" t="s">
        <v>56</v>
      </c>
      <c r="JK22" s="1">
        <v>220</v>
      </c>
      <c r="JL22" s="1" t="s">
        <v>232</v>
      </c>
      <c r="JM22" s="1" t="s">
        <v>56</v>
      </c>
      <c r="JN22" s="1">
        <v>90</v>
      </c>
      <c r="JO22" s="1" t="s">
        <v>232</v>
      </c>
      <c r="JP22" s="1" t="s">
        <v>56</v>
      </c>
      <c r="JQ22" s="1">
        <v>90</v>
      </c>
      <c r="JR22" s="1" t="s">
        <v>232</v>
      </c>
      <c r="JS22" s="1" t="s">
        <v>56</v>
      </c>
      <c r="JT22" s="1">
        <v>150</v>
      </c>
      <c r="JU22" s="1" t="s">
        <v>232</v>
      </c>
      <c r="JV22" s="1" t="s">
        <v>56</v>
      </c>
      <c r="JW22" s="1">
        <v>150</v>
      </c>
      <c r="JX22" s="1" t="s">
        <v>232</v>
      </c>
      <c r="JY22" s="1" t="s">
        <v>56</v>
      </c>
      <c r="JZ22" s="1">
        <v>130</v>
      </c>
      <c r="KA22" s="36" t="s">
        <v>231</v>
      </c>
      <c r="KB22" s="1" t="s">
        <v>56</v>
      </c>
      <c r="KC22" s="1">
        <v>130</v>
      </c>
      <c r="KD22" s="36" t="s">
        <v>231</v>
      </c>
      <c r="KE22" s="1" t="s">
        <v>56</v>
      </c>
      <c r="KF22" s="1">
        <v>120</v>
      </c>
      <c r="KG22" s="1" t="s">
        <v>232</v>
      </c>
      <c r="KH22" s="1" t="s">
        <v>56</v>
      </c>
      <c r="KI22" s="1">
        <v>120</v>
      </c>
      <c r="KJ22" s="1" t="s">
        <v>232</v>
      </c>
      <c r="KK22" s="43" t="s">
        <v>56</v>
      </c>
      <c r="KL22" s="1"/>
      <c r="KM22" s="93"/>
      <c r="KN22" s="129">
        <f>'Mixing &amp; Measures Tool'!B62*'Mixing &amp; Measures Tool'!D62</f>
        <v>0</v>
      </c>
      <c r="KO22" s="130">
        <f>SUM(KN16:KN22)</f>
        <v>250</v>
      </c>
    </row>
    <row r="23" spans="1:301" ht="21">
      <c r="A23" s="92"/>
      <c r="B23" s="92"/>
      <c r="C23" s="92"/>
      <c r="D23" s="80"/>
      <c r="E23" s="80"/>
      <c r="F23" s="80"/>
      <c r="G23" s="80"/>
      <c r="H23" s="80"/>
      <c r="I23" s="80"/>
      <c r="J23" s="80"/>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4"/>
      <c r="BN23" s="74"/>
      <c r="BO23" s="74"/>
      <c r="BP23" s="74"/>
      <c r="BQ23" s="74"/>
      <c r="BR23" s="74"/>
      <c r="BS23" s="74"/>
      <c r="BT23" s="74"/>
      <c r="BU23" s="74"/>
      <c r="BV23" s="74"/>
      <c r="BW23" s="74"/>
      <c r="BX23" s="74"/>
      <c r="BY23" s="74"/>
      <c r="BZ23" s="74"/>
      <c r="CA23" s="74"/>
      <c r="CB23" s="116"/>
      <c r="CC23" s="124" t="s">
        <v>238</v>
      </c>
      <c r="CD23" s="35">
        <v>1</v>
      </c>
      <c r="CE23" s="36" t="str">
        <f>'Neocate® &amp; Pepticate™ DRI Calc'!$K6</f>
        <v>Energy</v>
      </c>
      <c r="CF23" s="37">
        <v>2368</v>
      </c>
      <c r="CG23" s="36" t="s">
        <v>239</v>
      </c>
      <c r="CH23" s="1">
        <v>2368</v>
      </c>
      <c r="CI23" s="36" t="s">
        <v>239</v>
      </c>
      <c r="CJ23" s="1">
        <v>2403</v>
      </c>
      <c r="CK23" s="36" t="s">
        <v>239</v>
      </c>
      <c r="CL23" s="1">
        <v>3067</v>
      </c>
      <c r="CM23" s="36" t="s">
        <v>239</v>
      </c>
      <c r="CN23" s="1">
        <v>520</v>
      </c>
      <c r="CO23" s="36" t="s">
        <v>239</v>
      </c>
      <c r="CP23" s="1">
        <v>570</v>
      </c>
      <c r="CQ23" s="36" t="s">
        <v>239</v>
      </c>
      <c r="CR23" s="1">
        <v>992</v>
      </c>
      <c r="CS23" s="36" t="s">
        <v>239</v>
      </c>
      <c r="CT23" s="1">
        <v>1046</v>
      </c>
      <c r="CU23" s="36" t="s">
        <v>239</v>
      </c>
      <c r="CV23" s="1">
        <v>2368</v>
      </c>
      <c r="CW23" s="36" t="s">
        <v>239</v>
      </c>
      <c r="CX23" s="1">
        <v>3152</v>
      </c>
      <c r="CY23" s="36" t="s">
        <v>239</v>
      </c>
      <c r="CZ23" s="1">
        <v>2403</v>
      </c>
      <c r="DA23" s="36" t="s">
        <v>239</v>
      </c>
      <c r="DB23" s="1">
        <v>2403</v>
      </c>
      <c r="DC23" s="36" t="s">
        <v>239</v>
      </c>
      <c r="DD23" s="1">
        <v>3067</v>
      </c>
      <c r="DE23" s="36" t="s">
        <v>239</v>
      </c>
      <c r="DF23" s="1">
        <v>2403</v>
      </c>
      <c r="DG23" s="36" t="s">
        <v>239</v>
      </c>
      <c r="DH23" s="1">
        <v>2403</v>
      </c>
      <c r="DI23" s="36" t="s">
        <v>239</v>
      </c>
      <c r="DJ23" s="1">
        <v>2403</v>
      </c>
      <c r="DK23" s="36" t="s">
        <v>239</v>
      </c>
      <c r="DL23" s="1">
        <v>3067</v>
      </c>
      <c r="DM23" s="36" t="s">
        <v>239</v>
      </c>
      <c r="DN23" s="1">
        <v>2403</v>
      </c>
      <c r="DO23" s="36" t="s">
        <v>239</v>
      </c>
      <c r="DP23" s="1">
        <v>1642</v>
      </c>
      <c r="DQ23" s="36" t="s">
        <v>239</v>
      </c>
      <c r="DR23" s="1">
        <v>1742</v>
      </c>
      <c r="DS23" s="36" t="s">
        <v>239</v>
      </c>
      <c r="DT23" s="1">
        <v>2403</v>
      </c>
      <c r="DU23" s="36" t="s">
        <v>239</v>
      </c>
      <c r="DV23" s="1">
        <v>3067</v>
      </c>
      <c r="DW23" s="36" t="s">
        <v>239</v>
      </c>
      <c r="DX23" s="1">
        <v>676</v>
      </c>
      <c r="DY23" s="36" t="s">
        <v>239</v>
      </c>
      <c r="DZ23" s="1">
        <v>743</v>
      </c>
      <c r="EA23" s="36" t="s">
        <v>239</v>
      </c>
      <c r="EB23" s="1">
        <v>2071</v>
      </c>
      <c r="EC23" s="36" t="s">
        <v>239</v>
      </c>
      <c r="ED23" s="1">
        <v>2279</v>
      </c>
      <c r="EE23" s="136" t="s">
        <v>239</v>
      </c>
      <c r="EF23" s="126"/>
      <c r="EG23" s="46">
        <v>12</v>
      </c>
      <c r="EH23" s="26" t="str">
        <f>'Neocate® &amp; Pepticate™ DRI Calc'!$K41</f>
        <v>Pantothenic Acid (B5)</v>
      </c>
      <c r="EI23" s="37">
        <v>7</v>
      </c>
      <c r="EJ23" s="1" t="s">
        <v>231</v>
      </c>
      <c r="EK23" s="1" t="s">
        <v>45</v>
      </c>
      <c r="EL23" s="1">
        <v>6</v>
      </c>
      <c r="EM23" s="1" t="s">
        <v>231</v>
      </c>
      <c r="EN23" s="1" t="s">
        <v>45</v>
      </c>
      <c r="EO23" s="1">
        <v>5</v>
      </c>
      <c r="EP23" s="1" t="s">
        <v>231</v>
      </c>
      <c r="EQ23" s="1" t="s">
        <v>45</v>
      </c>
      <c r="ER23" s="1">
        <v>5</v>
      </c>
      <c r="ES23" s="1" t="s">
        <v>231</v>
      </c>
      <c r="ET23" s="1" t="s">
        <v>45</v>
      </c>
      <c r="EU23" s="1">
        <v>1700</v>
      </c>
      <c r="EV23" s="36" t="s">
        <v>231</v>
      </c>
      <c r="EW23" s="1" t="s">
        <v>56</v>
      </c>
      <c r="EX23" s="1">
        <v>1700</v>
      </c>
      <c r="EY23" s="36" t="s">
        <v>231</v>
      </c>
      <c r="EZ23" s="1" t="s">
        <v>56</v>
      </c>
      <c r="FA23" s="1">
        <v>2</v>
      </c>
      <c r="FB23" s="1" t="s">
        <v>231</v>
      </c>
      <c r="FC23" s="1" t="s">
        <v>45</v>
      </c>
      <c r="FD23" s="1">
        <v>2</v>
      </c>
      <c r="FE23" s="1" t="s">
        <v>231</v>
      </c>
      <c r="FF23" s="1" t="s">
        <v>45</v>
      </c>
      <c r="FG23" s="1">
        <v>5</v>
      </c>
      <c r="FH23" s="1" t="s">
        <v>231</v>
      </c>
      <c r="FI23" s="1" t="s">
        <v>45</v>
      </c>
      <c r="FJ23" s="1">
        <v>5</v>
      </c>
      <c r="FK23" s="1" t="s">
        <v>231</v>
      </c>
      <c r="FL23" s="1" t="s">
        <v>45</v>
      </c>
      <c r="FM23" s="1">
        <v>5</v>
      </c>
      <c r="FN23" s="1" t="s">
        <v>231</v>
      </c>
      <c r="FO23" s="1" t="s">
        <v>45</v>
      </c>
      <c r="FP23" s="1">
        <v>7</v>
      </c>
      <c r="FQ23" s="1" t="s">
        <v>231</v>
      </c>
      <c r="FR23" s="1" t="s">
        <v>45</v>
      </c>
      <c r="FS23" s="1">
        <v>5</v>
      </c>
      <c r="FT23" s="1" t="s">
        <v>231</v>
      </c>
      <c r="FU23" s="1" t="s">
        <v>45</v>
      </c>
      <c r="FV23" s="1">
        <v>6</v>
      </c>
      <c r="FW23" s="1" t="s">
        <v>231</v>
      </c>
      <c r="FX23" s="1" t="s">
        <v>45</v>
      </c>
      <c r="FY23" s="1">
        <v>5</v>
      </c>
      <c r="FZ23" s="1" t="s">
        <v>231</v>
      </c>
      <c r="GA23" s="1" t="s">
        <v>45</v>
      </c>
      <c r="GB23" s="1">
        <v>7</v>
      </c>
      <c r="GC23" s="1" t="s">
        <v>231</v>
      </c>
      <c r="GD23" s="1" t="s">
        <v>45</v>
      </c>
      <c r="GE23" s="1">
        <v>5</v>
      </c>
      <c r="GF23" s="1" t="s">
        <v>231</v>
      </c>
      <c r="GG23" s="1" t="s">
        <v>45</v>
      </c>
      <c r="GH23" s="1">
        <v>6</v>
      </c>
      <c r="GI23" s="1" t="s">
        <v>231</v>
      </c>
      <c r="GJ23" s="1" t="s">
        <v>45</v>
      </c>
      <c r="GK23" s="1">
        <v>3</v>
      </c>
      <c r="GL23" s="1" t="s">
        <v>231</v>
      </c>
      <c r="GM23" s="1" t="s">
        <v>45</v>
      </c>
      <c r="GN23" s="1">
        <v>3</v>
      </c>
      <c r="GO23" s="1" t="s">
        <v>231</v>
      </c>
      <c r="GP23" s="1" t="s">
        <v>45</v>
      </c>
      <c r="GQ23" s="1">
        <v>5</v>
      </c>
      <c r="GR23" s="1" t="s">
        <v>231</v>
      </c>
      <c r="GS23" s="1" t="s">
        <v>45</v>
      </c>
      <c r="GT23" s="1">
        <v>5</v>
      </c>
      <c r="GU23" s="1" t="s">
        <v>231</v>
      </c>
      <c r="GV23" s="1" t="s">
        <v>45</v>
      </c>
      <c r="GW23" s="1">
        <v>1800</v>
      </c>
      <c r="GX23" s="36" t="s">
        <v>231</v>
      </c>
      <c r="GY23" s="1" t="s">
        <v>56</v>
      </c>
      <c r="GZ23" s="1">
        <v>1800</v>
      </c>
      <c r="HA23" s="36" t="s">
        <v>231</v>
      </c>
      <c r="HB23" s="1" t="s">
        <v>56</v>
      </c>
      <c r="HC23" s="1">
        <v>4</v>
      </c>
      <c r="HD23" s="1" t="s">
        <v>231</v>
      </c>
      <c r="HE23" s="1" t="s">
        <v>45</v>
      </c>
      <c r="HF23" s="1">
        <v>4</v>
      </c>
      <c r="HG23" s="1" t="s">
        <v>231</v>
      </c>
      <c r="HH23" s="43" t="s">
        <v>45</v>
      </c>
      <c r="HI23" s="1"/>
      <c r="HJ23" s="35">
        <v>4</v>
      </c>
      <c r="HK23" s="36" t="str">
        <f>'Neocate® &amp; Pepticate™ DRI Calc'!$K51</f>
        <v>Iron</v>
      </c>
      <c r="HL23" s="37">
        <v>10</v>
      </c>
      <c r="HM23" s="1" t="s">
        <v>232</v>
      </c>
      <c r="HN23" s="1" t="s">
        <v>45</v>
      </c>
      <c r="HO23" s="1">
        <v>27</v>
      </c>
      <c r="HP23" s="1" t="s">
        <v>232</v>
      </c>
      <c r="HQ23" s="1" t="s">
        <v>45</v>
      </c>
      <c r="HR23" s="1">
        <v>8</v>
      </c>
      <c r="HS23" s="1" t="s">
        <v>232</v>
      </c>
      <c r="HT23" s="1" t="s">
        <v>45</v>
      </c>
      <c r="HU23" s="1">
        <v>8</v>
      </c>
      <c r="HV23" s="1" t="s">
        <v>232</v>
      </c>
      <c r="HW23" s="1" t="s">
        <v>45</v>
      </c>
      <c r="HX23" s="1">
        <v>0.27</v>
      </c>
      <c r="HY23" s="36" t="s">
        <v>231</v>
      </c>
      <c r="HZ23" s="1" t="s">
        <v>45</v>
      </c>
      <c r="IA23" s="1">
        <v>0.27</v>
      </c>
      <c r="IB23" s="36" t="s">
        <v>231</v>
      </c>
      <c r="IC23" s="1" t="s">
        <v>45</v>
      </c>
      <c r="ID23" s="1">
        <v>7</v>
      </c>
      <c r="IE23" s="1" t="s">
        <v>232</v>
      </c>
      <c r="IF23" s="1" t="s">
        <v>45</v>
      </c>
      <c r="IG23" s="1">
        <v>7</v>
      </c>
      <c r="IH23" s="1" t="s">
        <v>232</v>
      </c>
      <c r="II23" s="1" t="s">
        <v>45</v>
      </c>
      <c r="IJ23" s="1">
        <v>15</v>
      </c>
      <c r="IK23" s="1" t="s">
        <v>232</v>
      </c>
      <c r="IL23" s="1" t="s">
        <v>45</v>
      </c>
      <c r="IM23" s="1">
        <v>11</v>
      </c>
      <c r="IN23" s="1" t="s">
        <v>232</v>
      </c>
      <c r="IO23" s="1" t="s">
        <v>45</v>
      </c>
      <c r="IP23" s="1">
        <v>18</v>
      </c>
      <c r="IQ23" s="1" t="s">
        <v>232</v>
      </c>
      <c r="IR23" s="1" t="s">
        <v>45</v>
      </c>
      <c r="IS23" s="1">
        <v>9</v>
      </c>
      <c r="IT23" s="1" t="s">
        <v>232</v>
      </c>
      <c r="IU23" s="1" t="s">
        <v>45</v>
      </c>
      <c r="IV23" s="1">
        <v>8</v>
      </c>
      <c r="IW23" s="1" t="s">
        <v>232</v>
      </c>
      <c r="IX23" s="1" t="s">
        <v>45</v>
      </c>
      <c r="IY23" s="1">
        <v>27</v>
      </c>
      <c r="IZ23" s="1" t="s">
        <v>232</v>
      </c>
      <c r="JA23" s="1" t="s">
        <v>45</v>
      </c>
      <c r="JB23" s="1">
        <v>18</v>
      </c>
      <c r="JC23" s="1" t="s">
        <v>232</v>
      </c>
      <c r="JD23" s="1" t="s">
        <v>45</v>
      </c>
      <c r="JE23" s="1">
        <v>9</v>
      </c>
      <c r="JF23" s="1" t="s">
        <v>232</v>
      </c>
      <c r="JG23" s="1" t="s">
        <v>45</v>
      </c>
      <c r="JH23" s="1">
        <v>8</v>
      </c>
      <c r="JI23" s="1" t="s">
        <v>232</v>
      </c>
      <c r="JJ23" s="1" t="s">
        <v>45</v>
      </c>
      <c r="JK23" s="1">
        <v>27</v>
      </c>
      <c r="JL23" s="1" t="s">
        <v>232</v>
      </c>
      <c r="JM23" s="1" t="s">
        <v>45</v>
      </c>
      <c r="JN23" s="1">
        <v>10</v>
      </c>
      <c r="JO23" s="1" t="s">
        <v>232</v>
      </c>
      <c r="JP23" s="1" t="s">
        <v>45</v>
      </c>
      <c r="JQ23" s="1">
        <v>10</v>
      </c>
      <c r="JR23" s="1" t="s">
        <v>232</v>
      </c>
      <c r="JS23" s="1" t="s">
        <v>45</v>
      </c>
      <c r="JT23" s="1">
        <v>8</v>
      </c>
      <c r="JU23" s="1" t="s">
        <v>232</v>
      </c>
      <c r="JV23" s="1" t="s">
        <v>45</v>
      </c>
      <c r="JW23" s="1">
        <v>8</v>
      </c>
      <c r="JX23" s="1" t="s">
        <v>232</v>
      </c>
      <c r="JY23" s="1" t="s">
        <v>45</v>
      </c>
      <c r="JZ23" s="1">
        <v>11</v>
      </c>
      <c r="KA23" s="36" t="s">
        <v>231</v>
      </c>
      <c r="KB23" s="1" t="s">
        <v>45</v>
      </c>
      <c r="KC23" s="1">
        <v>11</v>
      </c>
      <c r="KD23" s="36" t="s">
        <v>231</v>
      </c>
      <c r="KE23" s="1" t="s">
        <v>45</v>
      </c>
      <c r="KF23" s="1">
        <v>8</v>
      </c>
      <c r="KG23" s="1" t="s">
        <v>232</v>
      </c>
      <c r="KH23" s="1" t="s">
        <v>45</v>
      </c>
      <c r="KI23" s="1">
        <v>8</v>
      </c>
      <c r="KJ23" s="1" t="s">
        <v>232</v>
      </c>
      <c r="KK23" s="43" t="s">
        <v>45</v>
      </c>
      <c r="KL23" s="1"/>
      <c r="KM23" s="93"/>
      <c r="KN23" s="76"/>
      <c r="KO23" s="76"/>
    </row>
    <row r="24" spans="1:301" ht="21">
      <c r="A24" s="92"/>
      <c r="B24" s="92"/>
      <c r="C24" s="92"/>
      <c r="D24" s="80"/>
      <c r="E24" s="80"/>
      <c r="F24" s="80"/>
      <c r="G24" s="80"/>
      <c r="H24" s="80"/>
      <c r="I24" s="80"/>
      <c r="J24" s="80"/>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4"/>
      <c r="BN24" s="74"/>
      <c r="BO24" s="74"/>
      <c r="BP24" s="74"/>
      <c r="BQ24" s="74"/>
      <c r="BR24" s="74"/>
      <c r="BS24" s="74"/>
      <c r="BT24" s="74"/>
      <c r="BU24" s="74"/>
      <c r="BV24" s="74"/>
      <c r="BW24" s="74"/>
      <c r="BX24" s="74"/>
      <c r="BY24" s="74"/>
      <c r="BZ24" s="74"/>
      <c r="CA24" s="74"/>
      <c r="CB24" s="116"/>
      <c r="CC24" s="124" t="s">
        <v>240</v>
      </c>
      <c r="CD24" s="35">
        <v>3</v>
      </c>
      <c r="CE24" s="36" t="str">
        <f>'Neocate® &amp; Pepticate™ DRI Calc'!$K14</f>
        <v>Fat‡</v>
      </c>
      <c r="CF24" s="138" t="s">
        <v>241</v>
      </c>
      <c r="CG24" s="138" t="s">
        <v>241</v>
      </c>
      <c r="CH24" s="138" t="s">
        <v>241</v>
      </c>
      <c r="CI24" s="138" t="s">
        <v>241</v>
      </c>
      <c r="CJ24" s="138" t="s">
        <v>241</v>
      </c>
      <c r="CK24" s="138" t="s">
        <v>241</v>
      </c>
      <c r="CL24" s="138" t="s">
        <v>241</v>
      </c>
      <c r="CM24" s="138" t="s">
        <v>241</v>
      </c>
      <c r="CN24" s="1">
        <v>31</v>
      </c>
      <c r="CO24" s="36" t="s">
        <v>231</v>
      </c>
      <c r="CP24" s="1">
        <v>31</v>
      </c>
      <c r="CQ24" s="36" t="s">
        <v>231</v>
      </c>
      <c r="CR24" s="139" t="s">
        <v>241</v>
      </c>
      <c r="CS24" s="139" t="s">
        <v>241</v>
      </c>
      <c r="CT24" s="139" t="s">
        <v>241</v>
      </c>
      <c r="CU24" s="139" t="s">
        <v>241</v>
      </c>
      <c r="CV24" s="139" t="s">
        <v>241</v>
      </c>
      <c r="CW24" s="139" t="s">
        <v>241</v>
      </c>
      <c r="CX24" s="139" t="s">
        <v>241</v>
      </c>
      <c r="CY24" s="139" t="s">
        <v>241</v>
      </c>
      <c r="CZ24" s="139" t="s">
        <v>241</v>
      </c>
      <c r="DA24" s="139" t="s">
        <v>241</v>
      </c>
      <c r="DB24" s="139" t="s">
        <v>241</v>
      </c>
      <c r="DC24" s="139" t="s">
        <v>241</v>
      </c>
      <c r="DD24" s="139" t="s">
        <v>241</v>
      </c>
      <c r="DE24" s="139" t="s">
        <v>241</v>
      </c>
      <c r="DF24" s="139" t="s">
        <v>241</v>
      </c>
      <c r="DG24" s="139" t="s">
        <v>241</v>
      </c>
      <c r="DH24" s="139" t="s">
        <v>241</v>
      </c>
      <c r="DI24" s="139" t="s">
        <v>241</v>
      </c>
      <c r="DJ24" s="139" t="s">
        <v>241</v>
      </c>
      <c r="DK24" s="139" t="s">
        <v>241</v>
      </c>
      <c r="DL24" s="139" t="s">
        <v>241</v>
      </c>
      <c r="DM24" s="139" t="s">
        <v>241</v>
      </c>
      <c r="DN24" s="139" t="s">
        <v>241</v>
      </c>
      <c r="DO24" s="139" t="s">
        <v>241</v>
      </c>
      <c r="DP24" s="139" t="s">
        <v>241</v>
      </c>
      <c r="DQ24" s="139" t="s">
        <v>241</v>
      </c>
      <c r="DR24" s="139" t="s">
        <v>241</v>
      </c>
      <c r="DS24" s="139" t="s">
        <v>241</v>
      </c>
      <c r="DT24" s="139" t="s">
        <v>241</v>
      </c>
      <c r="DU24" s="139" t="s">
        <v>241</v>
      </c>
      <c r="DV24" s="139" t="s">
        <v>241</v>
      </c>
      <c r="DW24" s="139" t="s">
        <v>241</v>
      </c>
      <c r="DX24" s="1">
        <v>30</v>
      </c>
      <c r="DY24" s="36" t="s">
        <v>231</v>
      </c>
      <c r="DZ24" s="1">
        <v>30</v>
      </c>
      <c r="EA24" s="36" t="s">
        <v>231</v>
      </c>
      <c r="EB24" s="139" t="s">
        <v>241</v>
      </c>
      <c r="EC24" s="139" t="s">
        <v>241</v>
      </c>
      <c r="ED24" s="139" t="s">
        <v>241</v>
      </c>
      <c r="EE24" s="139" t="s">
        <v>241</v>
      </c>
      <c r="EF24" s="126"/>
      <c r="EG24" s="46">
        <v>7</v>
      </c>
      <c r="EH24" s="26" t="str">
        <f>'Neocate® &amp; Pepticate™ DRI Calc'!$K36</f>
        <v>Riboflavin (B2)</v>
      </c>
      <c r="EI24" s="37">
        <v>1.6</v>
      </c>
      <c r="EJ24" s="1" t="s">
        <v>232</v>
      </c>
      <c r="EK24" s="1" t="s">
        <v>45</v>
      </c>
      <c r="EL24" s="1">
        <v>1.4</v>
      </c>
      <c r="EM24" s="1" t="s">
        <v>232</v>
      </c>
      <c r="EN24" s="1" t="s">
        <v>45</v>
      </c>
      <c r="EO24" s="1">
        <v>1.1000000000000001</v>
      </c>
      <c r="EP24" s="1" t="s">
        <v>232</v>
      </c>
      <c r="EQ24" s="1" t="s">
        <v>45</v>
      </c>
      <c r="ER24" s="1">
        <v>1.3</v>
      </c>
      <c r="ES24" s="1" t="s">
        <v>232</v>
      </c>
      <c r="ET24" s="1" t="s">
        <v>45</v>
      </c>
      <c r="EU24" s="1">
        <v>300</v>
      </c>
      <c r="EV24" s="36" t="s">
        <v>231</v>
      </c>
      <c r="EW24" s="1" t="s">
        <v>56</v>
      </c>
      <c r="EX24" s="1">
        <v>300</v>
      </c>
      <c r="EY24" s="36" t="s">
        <v>231</v>
      </c>
      <c r="EZ24" s="1" t="s">
        <v>56</v>
      </c>
      <c r="FA24" s="1">
        <v>0.5</v>
      </c>
      <c r="FB24" s="1" t="s">
        <v>232</v>
      </c>
      <c r="FC24" s="1" t="s">
        <v>45</v>
      </c>
      <c r="FD24" s="1">
        <v>0.5</v>
      </c>
      <c r="FE24" s="1" t="s">
        <v>232</v>
      </c>
      <c r="FF24" s="1" t="s">
        <v>45</v>
      </c>
      <c r="FG24" s="1">
        <v>1</v>
      </c>
      <c r="FH24" s="1" t="s">
        <v>232</v>
      </c>
      <c r="FI24" s="1" t="s">
        <v>45</v>
      </c>
      <c r="FJ24" s="1">
        <v>1.3</v>
      </c>
      <c r="FK24" s="1" t="s">
        <v>232</v>
      </c>
      <c r="FL24" s="1" t="s">
        <v>45</v>
      </c>
      <c r="FM24" s="1">
        <v>1.1000000000000001</v>
      </c>
      <c r="FN24" s="1" t="s">
        <v>232</v>
      </c>
      <c r="FO24" s="1" t="s">
        <v>45</v>
      </c>
      <c r="FP24" s="1">
        <v>1.6</v>
      </c>
      <c r="FQ24" s="1" t="s">
        <v>232</v>
      </c>
      <c r="FR24" s="1" t="s">
        <v>45</v>
      </c>
      <c r="FS24" s="1">
        <v>1.3</v>
      </c>
      <c r="FT24" s="1" t="s">
        <v>232</v>
      </c>
      <c r="FU24" s="1" t="s">
        <v>45</v>
      </c>
      <c r="FV24" s="1">
        <v>1.4</v>
      </c>
      <c r="FW24" s="1" t="s">
        <v>232</v>
      </c>
      <c r="FX24" s="1" t="s">
        <v>45</v>
      </c>
      <c r="FY24" s="1">
        <v>1.1000000000000001</v>
      </c>
      <c r="FZ24" s="1" t="s">
        <v>232</v>
      </c>
      <c r="GA24" s="1" t="s">
        <v>45</v>
      </c>
      <c r="GB24" s="1">
        <v>1.6</v>
      </c>
      <c r="GC24" s="1" t="s">
        <v>232</v>
      </c>
      <c r="GD24" s="1" t="s">
        <v>45</v>
      </c>
      <c r="GE24" s="1">
        <v>1.3</v>
      </c>
      <c r="GF24" s="1" t="s">
        <v>232</v>
      </c>
      <c r="GG24" s="1" t="s">
        <v>45</v>
      </c>
      <c r="GH24" s="1">
        <v>1.4</v>
      </c>
      <c r="GI24" s="1" t="s">
        <v>232</v>
      </c>
      <c r="GJ24" s="1" t="s">
        <v>45</v>
      </c>
      <c r="GK24" s="1">
        <v>0.6</v>
      </c>
      <c r="GL24" s="1" t="s">
        <v>232</v>
      </c>
      <c r="GM24" s="1" t="s">
        <v>45</v>
      </c>
      <c r="GN24" s="1">
        <v>0.6</v>
      </c>
      <c r="GO24" s="1" t="s">
        <v>232</v>
      </c>
      <c r="GP24" s="1" t="s">
        <v>45</v>
      </c>
      <c r="GQ24" s="1">
        <v>1.1000000000000001</v>
      </c>
      <c r="GR24" s="1" t="s">
        <v>232</v>
      </c>
      <c r="GS24" s="1" t="s">
        <v>45</v>
      </c>
      <c r="GT24" s="1">
        <v>1.3</v>
      </c>
      <c r="GU24" s="1" t="s">
        <v>232</v>
      </c>
      <c r="GV24" s="1" t="s">
        <v>45</v>
      </c>
      <c r="GW24" s="1">
        <v>400</v>
      </c>
      <c r="GX24" s="36" t="s">
        <v>231</v>
      </c>
      <c r="GY24" s="1" t="s">
        <v>56</v>
      </c>
      <c r="GZ24" s="1">
        <v>400</v>
      </c>
      <c r="HA24" s="36" t="s">
        <v>231</v>
      </c>
      <c r="HB24" s="1" t="s">
        <v>56</v>
      </c>
      <c r="HC24" s="1">
        <v>0.9</v>
      </c>
      <c r="HD24" s="1" t="s">
        <v>232</v>
      </c>
      <c r="HE24" s="1" t="s">
        <v>45</v>
      </c>
      <c r="HF24" s="1">
        <v>0.9</v>
      </c>
      <c r="HG24" s="1" t="s">
        <v>232</v>
      </c>
      <c r="HH24" s="43" t="s">
        <v>45</v>
      </c>
      <c r="HI24" s="1"/>
      <c r="HJ24" s="35">
        <v>3</v>
      </c>
      <c r="HK24" s="36" t="str">
        <f>'Neocate® &amp; Pepticate™ DRI Calc'!$K50</f>
        <v>Magnesium</v>
      </c>
      <c r="HL24" s="37">
        <v>360</v>
      </c>
      <c r="HM24" s="1" t="s">
        <v>232</v>
      </c>
      <c r="HN24" s="1" t="s">
        <v>45</v>
      </c>
      <c r="HO24" s="1">
        <v>400</v>
      </c>
      <c r="HP24" s="1" t="s">
        <v>232</v>
      </c>
      <c r="HQ24" s="1" t="s">
        <v>45</v>
      </c>
      <c r="HR24" s="1">
        <v>320</v>
      </c>
      <c r="HS24" s="1" t="s">
        <v>232</v>
      </c>
      <c r="HT24" s="1" t="s">
        <v>45</v>
      </c>
      <c r="HU24" s="1">
        <v>420</v>
      </c>
      <c r="HV24" s="1" t="s">
        <v>232</v>
      </c>
      <c r="HW24" s="1" t="s">
        <v>45</v>
      </c>
      <c r="HX24" s="1">
        <v>30</v>
      </c>
      <c r="HY24" s="36" t="s">
        <v>231</v>
      </c>
      <c r="HZ24" s="1" t="s">
        <v>45</v>
      </c>
      <c r="IA24" s="1">
        <v>30</v>
      </c>
      <c r="IB24" s="36" t="s">
        <v>231</v>
      </c>
      <c r="IC24" s="1" t="s">
        <v>45</v>
      </c>
      <c r="ID24" s="1">
        <v>80</v>
      </c>
      <c r="IE24" s="1" t="s">
        <v>232</v>
      </c>
      <c r="IF24" s="1" t="s">
        <v>45</v>
      </c>
      <c r="IG24" s="1">
        <v>80</v>
      </c>
      <c r="IH24" s="1" t="s">
        <v>232</v>
      </c>
      <c r="II24" s="1" t="s">
        <v>45</v>
      </c>
      <c r="IJ24" s="1">
        <v>360</v>
      </c>
      <c r="IK24" s="1" t="s">
        <v>232</v>
      </c>
      <c r="IL24" s="1" t="s">
        <v>45</v>
      </c>
      <c r="IM24" s="1">
        <v>410</v>
      </c>
      <c r="IN24" s="1" t="s">
        <v>232</v>
      </c>
      <c r="IO24" s="1" t="s">
        <v>45</v>
      </c>
      <c r="IP24" s="1">
        <v>310</v>
      </c>
      <c r="IQ24" s="1" t="s">
        <v>232</v>
      </c>
      <c r="IR24" s="1" t="s">
        <v>45</v>
      </c>
      <c r="IS24" s="1">
        <v>310</v>
      </c>
      <c r="IT24" s="1" t="s">
        <v>232</v>
      </c>
      <c r="IU24" s="1" t="s">
        <v>45</v>
      </c>
      <c r="IV24" s="1">
        <v>400</v>
      </c>
      <c r="IW24" s="1" t="s">
        <v>232</v>
      </c>
      <c r="IX24" s="1" t="s">
        <v>45</v>
      </c>
      <c r="IY24" s="1">
        <v>350</v>
      </c>
      <c r="IZ24" s="1" t="s">
        <v>232</v>
      </c>
      <c r="JA24" s="1" t="s">
        <v>45</v>
      </c>
      <c r="JB24" s="1">
        <v>320</v>
      </c>
      <c r="JC24" s="1" t="s">
        <v>232</v>
      </c>
      <c r="JD24" s="1" t="s">
        <v>45</v>
      </c>
      <c r="JE24" s="1">
        <v>320</v>
      </c>
      <c r="JF24" s="1" t="s">
        <v>232</v>
      </c>
      <c r="JG24" s="1" t="s">
        <v>45</v>
      </c>
      <c r="JH24" s="1">
        <v>420</v>
      </c>
      <c r="JI24" s="1" t="s">
        <v>232</v>
      </c>
      <c r="JJ24" s="1" t="s">
        <v>45</v>
      </c>
      <c r="JK24" s="1">
        <v>360</v>
      </c>
      <c r="JL24" s="1" t="s">
        <v>232</v>
      </c>
      <c r="JM24" s="1" t="s">
        <v>45</v>
      </c>
      <c r="JN24" s="1">
        <v>130</v>
      </c>
      <c r="JO24" s="1" t="s">
        <v>232</v>
      </c>
      <c r="JP24" s="1" t="s">
        <v>45</v>
      </c>
      <c r="JQ24" s="1">
        <v>130</v>
      </c>
      <c r="JR24" s="1" t="s">
        <v>232</v>
      </c>
      <c r="JS24" s="1" t="s">
        <v>45</v>
      </c>
      <c r="JT24" s="1">
        <v>320</v>
      </c>
      <c r="JU24" s="1" t="s">
        <v>232</v>
      </c>
      <c r="JV24" s="1" t="s">
        <v>45</v>
      </c>
      <c r="JW24" s="1">
        <v>420</v>
      </c>
      <c r="JX24" s="1" t="s">
        <v>232</v>
      </c>
      <c r="JY24" s="1" t="s">
        <v>45</v>
      </c>
      <c r="JZ24" s="1">
        <v>75</v>
      </c>
      <c r="KA24" s="36" t="s">
        <v>231</v>
      </c>
      <c r="KB24" s="1" t="s">
        <v>45</v>
      </c>
      <c r="KC24" s="1">
        <v>75</v>
      </c>
      <c r="KD24" s="36" t="s">
        <v>231</v>
      </c>
      <c r="KE24" s="1" t="s">
        <v>45</v>
      </c>
      <c r="KF24" s="1">
        <v>240</v>
      </c>
      <c r="KG24" s="1" t="s">
        <v>232</v>
      </c>
      <c r="KH24" s="1" t="s">
        <v>45</v>
      </c>
      <c r="KI24" s="1">
        <v>240</v>
      </c>
      <c r="KJ24" s="1" t="s">
        <v>232</v>
      </c>
      <c r="KK24" s="43" t="s">
        <v>45</v>
      </c>
      <c r="KL24" s="1"/>
      <c r="KM24" s="93"/>
      <c r="KN24" s="76"/>
      <c r="KO24" s="76"/>
    </row>
    <row r="25" spans="1:301" ht="18" customHeight="1">
      <c r="A25" s="92"/>
      <c r="B25" s="92"/>
      <c r="C25" s="92"/>
      <c r="D25" s="80"/>
      <c r="E25" s="80"/>
      <c r="F25" s="80"/>
      <c r="G25" s="80"/>
      <c r="H25" s="80"/>
      <c r="I25" s="80"/>
      <c r="J25" s="80"/>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4"/>
      <c r="BN25" s="74"/>
      <c r="BO25" s="74"/>
      <c r="BP25" s="74"/>
      <c r="BQ25" s="74"/>
      <c r="BR25" s="74"/>
      <c r="BS25" s="74"/>
      <c r="BT25" s="74"/>
      <c r="BU25" s="74"/>
      <c r="BV25" s="74"/>
      <c r="BW25" s="74"/>
      <c r="BX25" s="74"/>
      <c r="BY25" s="74"/>
      <c r="BZ25" s="74"/>
      <c r="CA25" s="74"/>
      <c r="CB25" s="116"/>
      <c r="CC25" s="124" t="s">
        <v>242</v>
      </c>
      <c r="CD25" s="35">
        <v>12</v>
      </c>
      <c r="CE25" s="36" t="str">
        <f>'Neocate® &amp; Pepticate™ DRI Calc'!$K22</f>
        <v>Free water</v>
      </c>
      <c r="CF25" s="37">
        <v>3800</v>
      </c>
      <c r="CG25" s="36" t="s">
        <v>231</v>
      </c>
      <c r="CH25" s="1">
        <v>3000</v>
      </c>
      <c r="CI25" s="36" t="s">
        <v>231</v>
      </c>
      <c r="CJ25" s="1">
        <v>2700</v>
      </c>
      <c r="CK25" s="1" t="s">
        <v>231</v>
      </c>
      <c r="CL25" s="1">
        <v>3700</v>
      </c>
      <c r="CM25" s="1" t="s">
        <v>231</v>
      </c>
      <c r="CN25" s="1">
        <v>700</v>
      </c>
      <c r="CO25" s="36" t="s">
        <v>231</v>
      </c>
      <c r="CP25" s="1">
        <v>700</v>
      </c>
      <c r="CQ25" s="36" t="s">
        <v>231</v>
      </c>
      <c r="CR25" s="1">
        <v>1300</v>
      </c>
      <c r="CS25" s="1" t="s">
        <v>231</v>
      </c>
      <c r="CT25" s="1">
        <v>1300</v>
      </c>
      <c r="CU25" s="1" t="s">
        <v>231</v>
      </c>
      <c r="CV25" s="1">
        <v>2300</v>
      </c>
      <c r="CW25" s="1" t="s">
        <v>231</v>
      </c>
      <c r="CX25" s="1">
        <v>3300</v>
      </c>
      <c r="CY25" s="1" t="s">
        <v>231</v>
      </c>
      <c r="CZ25" s="1">
        <v>2700</v>
      </c>
      <c r="DA25" s="1" t="s">
        <v>231</v>
      </c>
      <c r="DB25" s="1">
        <v>3800</v>
      </c>
      <c r="DC25" s="1" t="s">
        <v>231</v>
      </c>
      <c r="DD25" s="1">
        <v>3700</v>
      </c>
      <c r="DE25" s="1" t="s">
        <v>231</v>
      </c>
      <c r="DF25" s="1">
        <v>3000</v>
      </c>
      <c r="DG25" s="1" t="s">
        <v>231</v>
      </c>
      <c r="DH25" s="1">
        <v>2700</v>
      </c>
      <c r="DI25" s="1" t="s">
        <v>231</v>
      </c>
      <c r="DJ25" s="1">
        <v>3800</v>
      </c>
      <c r="DK25" s="1" t="s">
        <v>231</v>
      </c>
      <c r="DL25" s="1">
        <v>3700</v>
      </c>
      <c r="DM25" s="1" t="s">
        <v>231</v>
      </c>
      <c r="DN25" s="1">
        <v>3000</v>
      </c>
      <c r="DO25" s="1" t="s">
        <v>231</v>
      </c>
      <c r="DP25" s="1">
        <v>1700</v>
      </c>
      <c r="DQ25" s="1" t="s">
        <v>231</v>
      </c>
      <c r="DR25" s="1">
        <v>1700</v>
      </c>
      <c r="DS25" s="36" t="s">
        <v>231</v>
      </c>
      <c r="DT25" s="1">
        <v>2700</v>
      </c>
      <c r="DU25" s="36" t="s">
        <v>231</v>
      </c>
      <c r="DV25" s="1">
        <v>3700</v>
      </c>
      <c r="DW25" s="36" t="s">
        <v>231</v>
      </c>
      <c r="DX25" s="1">
        <v>800</v>
      </c>
      <c r="DY25" s="36" t="s">
        <v>231</v>
      </c>
      <c r="DZ25" s="1">
        <v>800</v>
      </c>
      <c r="EA25" s="36" t="s">
        <v>231</v>
      </c>
      <c r="EB25" s="1">
        <v>2100</v>
      </c>
      <c r="EC25" s="36" t="s">
        <v>231</v>
      </c>
      <c r="ED25" s="1">
        <v>2400</v>
      </c>
      <c r="EE25" s="136" t="s">
        <v>231</v>
      </c>
      <c r="EF25" s="126"/>
      <c r="EG25" s="46">
        <v>6</v>
      </c>
      <c r="EH25" s="26" t="str">
        <f>'Neocate® &amp; Pepticate™ DRI Calc'!$K35</f>
        <v>Thiamine (B1)</v>
      </c>
      <c r="EI25" s="37">
        <v>1.4</v>
      </c>
      <c r="EJ25" s="1" t="s">
        <v>232</v>
      </c>
      <c r="EK25" s="1" t="s">
        <v>45</v>
      </c>
      <c r="EL25" s="1">
        <v>1.4</v>
      </c>
      <c r="EM25" s="1" t="s">
        <v>232</v>
      </c>
      <c r="EN25" s="1" t="s">
        <v>45</v>
      </c>
      <c r="EO25" s="1">
        <v>1.1000000000000001</v>
      </c>
      <c r="EP25" s="1" t="s">
        <v>232</v>
      </c>
      <c r="EQ25" s="1" t="s">
        <v>45</v>
      </c>
      <c r="ER25" s="1">
        <v>1.2</v>
      </c>
      <c r="ES25" s="1" t="s">
        <v>232</v>
      </c>
      <c r="ET25" s="1" t="s">
        <v>45</v>
      </c>
      <c r="EU25" s="1">
        <v>200</v>
      </c>
      <c r="EV25" s="36" t="s">
        <v>231</v>
      </c>
      <c r="EW25" s="1" t="s">
        <v>56</v>
      </c>
      <c r="EX25" s="1">
        <v>200</v>
      </c>
      <c r="EY25" s="36" t="s">
        <v>231</v>
      </c>
      <c r="EZ25" s="1" t="s">
        <v>56</v>
      </c>
      <c r="FA25" s="1">
        <v>0.5</v>
      </c>
      <c r="FB25" s="1" t="s">
        <v>232</v>
      </c>
      <c r="FC25" s="1" t="s">
        <v>45</v>
      </c>
      <c r="FD25" s="1">
        <v>0.5</v>
      </c>
      <c r="FE25" s="1" t="s">
        <v>232</v>
      </c>
      <c r="FF25" s="1" t="s">
        <v>45</v>
      </c>
      <c r="FG25" s="1">
        <v>1</v>
      </c>
      <c r="FH25" s="1" t="s">
        <v>232</v>
      </c>
      <c r="FI25" s="1" t="s">
        <v>45</v>
      </c>
      <c r="FJ25" s="1">
        <v>1.2</v>
      </c>
      <c r="FK25" s="1" t="s">
        <v>232</v>
      </c>
      <c r="FL25" s="1" t="s">
        <v>45</v>
      </c>
      <c r="FM25" s="1">
        <v>1.1000000000000001</v>
      </c>
      <c r="FN25" s="1" t="s">
        <v>232</v>
      </c>
      <c r="FO25" s="1" t="s">
        <v>45</v>
      </c>
      <c r="FP25" s="1">
        <v>1.4</v>
      </c>
      <c r="FQ25" s="1" t="s">
        <v>232</v>
      </c>
      <c r="FR25" s="1" t="s">
        <v>45</v>
      </c>
      <c r="FS25" s="1">
        <v>1.2</v>
      </c>
      <c r="FT25" s="1" t="s">
        <v>232</v>
      </c>
      <c r="FU25" s="1" t="s">
        <v>45</v>
      </c>
      <c r="FV25" s="1">
        <v>1.4</v>
      </c>
      <c r="FW25" s="1" t="s">
        <v>232</v>
      </c>
      <c r="FX25" s="1" t="s">
        <v>45</v>
      </c>
      <c r="FY25" s="1">
        <v>1.1000000000000001</v>
      </c>
      <c r="FZ25" s="1" t="s">
        <v>232</v>
      </c>
      <c r="GA25" s="1" t="s">
        <v>45</v>
      </c>
      <c r="GB25" s="1">
        <v>1.4</v>
      </c>
      <c r="GC25" s="1" t="s">
        <v>232</v>
      </c>
      <c r="GD25" s="1" t="s">
        <v>45</v>
      </c>
      <c r="GE25" s="1">
        <v>1.2</v>
      </c>
      <c r="GF25" s="1" t="s">
        <v>232</v>
      </c>
      <c r="GG25" s="1" t="s">
        <v>45</v>
      </c>
      <c r="GH25" s="1">
        <v>1.4</v>
      </c>
      <c r="GI25" s="1" t="s">
        <v>232</v>
      </c>
      <c r="GJ25" s="1" t="s">
        <v>45</v>
      </c>
      <c r="GK25" s="1">
        <v>0.6</v>
      </c>
      <c r="GL25" s="1" t="s">
        <v>232</v>
      </c>
      <c r="GM25" s="1" t="s">
        <v>45</v>
      </c>
      <c r="GN25" s="1">
        <v>0.6</v>
      </c>
      <c r="GO25" s="1" t="s">
        <v>232</v>
      </c>
      <c r="GP25" s="1" t="s">
        <v>45</v>
      </c>
      <c r="GQ25" s="1">
        <v>1.1000000000000001</v>
      </c>
      <c r="GR25" s="1" t="s">
        <v>232</v>
      </c>
      <c r="GS25" s="1" t="s">
        <v>45</v>
      </c>
      <c r="GT25" s="1">
        <v>1.2</v>
      </c>
      <c r="GU25" s="1" t="s">
        <v>232</v>
      </c>
      <c r="GV25" s="1" t="s">
        <v>45</v>
      </c>
      <c r="GW25" s="1">
        <v>300</v>
      </c>
      <c r="GX25" s="36" t="s">
        <v>231</v>
      </c>
      <c r="GY25" s="1" t="s">
        <v>56</v>
      </c>
      <c r="GZ25" s="1">
        <v>300</v>
      </c>
      <c r="HA25" s="36" t="s">
        <v>231</v>
      </c>
      <c r="HB25" s="1" t="s">
        <v>56</v>
      </c>
      <c r="HC25" s="1">
        <v>0.9</v>
      </c>
      <c r="HD25" s="1" t="s">
        <v>232</v>
      </c>
      <c r="HE25" s="1" t="s">
        <v>45</v>
      </c>
      <c r="HF25" s="1">
        <v>0.9</v>
      </c>
      <c r="HG25" s="1" t="s">
        <v>232</v>
      </c>
      <c r="HH25" s="43" t="s">
        <v>45</v>
      </c>
      <c r="HI25" s="1"/>
      <c r="HJ25" s="35">
        <v>6</v>
      </c>
      <c r="HK25" s="36" t="str">
        <f>'Neocate® &amp; Pepticate™ DRI Calc'!$K53</f>
        <v>Manganese</v>
      </c>
      <c r="HL25" s="37">
        <v>2.6</v>
      </c>
      <c r="HM25" s="1" t="s">
        <v>231</v>
      </c>
      <c r="HN25" s="1" t="s">
        <v>45</v>
      </c>
      <c r="HO25" s="24">
        <v>2</v>
      </c>
      <c r="HP25" s="1" t="s">
        <v>231</v>
      </c>
      <c r="HQ25" s="1" t="s">
        <v>45</v>
      </c>
      <c r="HR25" s="1">
        <v>1.8</v>
      </c>
      <c r="HS25" s="1" t="s">
        <v>231</v>
      </c>
      <c r="HT25" s="1" t="s">
        <v>45</v>
      </c>
      <c r="HU25" s="1">
        <v>2.2999999999999998</v>
      </c>
      <c r="HV25" s="1" t="s">
        <v>231</v>
      </c>
      <c r="HW25" s="1" t="s">
        <v>45</v>
      </c>
      <c r="HX25" s="1">
        <v>3.0000000000000001E-3</v>
      </c>
      <c r="HY25" s="36" t="s">
        <v>231</v>
      </c>
      <c r="HZ25" s="1" t="s">
        <v>45</v>
      </c>
      <c r="IA25" s="1">
        <v>3.0000000000000001E-3</v>
      </c>
      <c r="IB25" s="36" t="s">
        <v>231</v>
      </c>
      <c r="IC25" s="1" t="s">
        <v>45</v>
      </c>
      <c r="ID25" s="1">
        <v>1.2</v>
      </c>
      <c r="IE25" s="1" t="s">
        <v>231</v>
      </c>
      <c r="IF25" s="1" t="s">
        <v>45</v>
      </c>
      <c r="IG25" s="1">
        <v>1.2</v>
      </c>
      <c r="IH25" s="1" t="s">
        <v>231</v>
      </c>
      <c r="II25" s="1" t="s">
        <v>45</v>
      </c>
      <c r="IJ25" s="1">
        <v>1.6</v>
      </c>
      <c r="IK25" s="1" t="s">
        <v>231</v>
      </c>
      <c r="IL25" s="1" t="s">
        <v>45</v>
      </c>
      <c r="IM25" s="1">
        <v>2.2000000000000002</v>
      </c>
      <c r="IN25" s="1" t="s">
        <v>231</v>
      </c>
      <c r="IO25" s="1" t="s">
        <v>45</v>
      </c>
      <c r="IP25" s="1">
        <v>1.8</v>
      </c>
      <c r="IQ25" s="1" t="s">
        <v>231</v>
      </c>
      <c r="IR25" s="1" t="s">
        <v>45</v>
      </c>
      <c r="IS25" s="1">
        <v>2.6</v>
      </c>
      <c r="IT25" s="1" t="s">
        <v>231</v>
      </c>
      <c r="IU25" s="1" t="s">
        <v>45</v>
      </c>
      <c r="IV25" s="1">
        <v>2.2999999999999998</v>
      </c>
      <c r="IW25" s="1" t="s">
        <v>231</v>
      </c>
      <c r="IX25" s="1" t="s">
        <v>45</v>
      </c>
      <c r="IY25" s="24">
        <v>2</v>
      </c>
      <c r="IZ25" s="1" t="s">
        <v>231</v>
      </c>
      <c r="JA25" s="1" t="s">
        <v>45</v>
      </c>
      <c r="JB25" s="1">
        <v>1.8</v>
      </c>
      <c r="JC25" s="1" t="s">
        <v>231</v>
      </c>
      <c r="JD25" s="1" t="s">
        <v>45</v>
      </c>
      <c r="JE25" s="1">
        <v>2.6</v>
      </c>
      <c r="JF25" s="1" t="s">
        <v>231</v>
      </c>
      <c r="JG25" s="1" t="s">
        <v>45</v>
      </c>
      <c r="JH25" s="1">
        <v>2.2999999999999998</v>
      </c>
      <c r="JI25" s="1" t="s">
        <v>231</v>
      </c>
      <c r="JJ25" s="1" t="s">
        <v>45</v>
      </c>
      <c r="JK25" s="24">
        <v>2</v>
      </c>
      <c r="JL25" s="1" t="s">
        <v>231</v>
      </c>
      <c r="JM25" s="1" t="s">
        <v>45</v>
      </c>
      <c r="JN25" s="1">
        <v>1.5</v>
      </c>
      <c r="JO25" s="1" t="s">
        <v>231</v>
      </c>
      <c r="JP25" s="1" t="s">
        <v>45</v>
      </c>
      <c r="JQ25" s="1">
        <v>1.5</v>
      </c>
      <c r="JR25" s="1" t="s">
        <v>231</v>
      </c>
      <c r="JS25" s="1" t="s">
        <v>45</v>
      </c>
      <c r="JT25" s="1">
        <v>1.8</v>
      </c>
      <c r="JU25" s="1" t="s">
        <v>231</v>
      </c>
      <c r="JV25" s="1" t="s">
        <v>45</v>
      </c>
      <c r="JW25" s="1">
        <v>2.2999999999999998</v>
      </c>
      <c r="JX25" s="1" t="s">
        <v>231</v>
      </c>
      <c r="JY25" s="1" t="s">
        <v>45</v>
      </c>
      <c r="JZ25" s="1">
        <v>0.6</v>
      </c>
      <c r="KA25" s="36" t="s">
        <v>231</v>
      </c>
      <c r="KB25" s="1" t="s">
        <v>45</v>
      </c>
      <c r="KC25" s="1">
        <v>0.6</v>
      </c>
      <c r="KD25" s="36" t="s">
        <v>231</v>
      </c>
      <c r="KE25" s="1" t="s">
        <v>45</v>
      </c>
      <c r="KF25" s="1">
        <v>1.6</v>
      </c>
      <c r="KG25" s="1" t="s">
        <v>231</v>
      </c>
      <c r="KH25" s="1" t="s">
        <v>45</v>
      </c>
      <c r="KI25" s="1">
        <v>1.9</v>
      </c>
      <c r="KJ25" s="1" t="s">
        <v>231</v>
      </c>
      <c r="KK25" s="43" t="s">
        <v>45</v>
      </c>
      <c r="KL25" s="1"/>
      <c r="KM25" s="93"/>
      <c r="KN25" s="76"/>
      <c r="KO25" s="76"/>
    </row>
    <row r="26" spans="1:301" ht="21">
      <c r="A26" s="92"/>
      <c r="B26" s="92"/>
      <c r="C26" s="92"/>
      <c r="D26" s="80"/>
      <c r="E26" s="80"/>
      <c r="F26" s="80"/>
      <c r="G26" s="80"/>
      <c r="H26" s="80"/>
      <c r="I26" s="80"/>
      <c r="J26" s="80"/>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4"/>
      <c r="BN26" s="74"/>
      <c r="BO26" s="74"/>
      <c r="BP26" s="74"/>
      <c r="BQ26" s="74"/>
      <c r="BR26" s="74"/>
      <c r="BS26" s="74"/>
      <c r="BT26" s="74"/>
      <c r="BU26" s="74"/>
      <c r="BV26" s="74"/>
      <c r="BW26" s="74"/>
      <c r="BX26" s="74"/>
      <c r="BY26" s="74"/>
      <c r="BZ26" s="74"/>
      <c r="CA26" s="74"/>
      <c r="CB26" s="116"/>
      <c r="CC26" s="124" t="s">
        <v>243</v>
      </c>
      <c r="CD26" s="35">
        <v>6</v>
      </c>
      <c r="CE26" s="36" t="str">
        <f>'Neocate® &amp; Pepticate™ DRI Calc'!$K15</f>
        <v>Linoleic Acid</v>
      </c>
      <c r="CF26" s="37">
        <v>13</v>
      </c>
      <c r="CG26" s="36" t="s">
        <v>231</v>
      </c>
      <c r="CH26" s="1">
        <v>13</v>
      </c>
      <c r="CI26" s="36" t="s">
        <v>231</v>
      </c>
      <c r="CJ26" s="1">
        <v>11</v>
      </c>
      <c r="CK26" s="36" t="s">
        <v>231</v>
      </c>
      <c r="CL26" s="1">
        <v>14</v>
      </c>
      <c r="CM26" s="36" t="s">
        <v>231</v>
      </c>
      <c r="CN26" s="1">
        <v>4.4000000000000004</v>
      </c>
      <c r="CO26" s="36" t="s">
        <v>231</v>
      </c>
      <c r="CP26" s="1">
        <v>4.4000000000000004</v>
      </c>
      <c r="CQ26" s="36" t="s">
        <v>231</v>
      </c>
      <c r="CR26" s="1">
        <v>7</v>
      </c>
      <c r="CS26" s="36" t="s">
        <v>231</v>
      </c>
      <c r="CT26" s="1">
        <v>7</v>
      </c>
      <c r="CU26" s="36" t="s">
        <v>231</v>
      </c>
      <c r="CV26" s="1">
        <v>11</v>
      </c>
      <c r="CW26" s="36" t="s">
        <v>231</v>
      </c>
      <c r="CX26" s="1">
        <v>16</v>
      </c>
      <c r="CY26" s="36" t="s">
        <v>231</v>
      </c>
      <c r="CZ26" s="1">
        <v>12</v>
      </c>
      <c r="DA26" s="36" t="s">
        <v>231</v>
      </c>
      <c r="DB26" s="1">
        <v>13</v>
      </c>
      <c r="DC26" s="36" t="s">
        <v>231</v>
      </c>
      <c r="DD26" s="1">
        <v>17</v>
      </c>
      <c r="DE26" s="36" t="s">
        <v>231</v>
      </c>
      <c r="DF26" s="1">
        <v>13</v>
      </c>
      <c r="DG26" s="36" t="s">
        <v>231</v>
      </c>
      <c r="DH26" s="1">
        <v>12</v>
      </c>
      <c r="DI26" s="36" t="s">
        <v>231</v>
      </c>
      <c r="DJ26" s="1">
        <v>13</v>
      </c>
      <c r="DK26" s="36" t="s">
        <v>231</v>
      </c>
      <c r="DL26" s="1">
        <v>17</v>
      </c>
      <c r="DM26" s="36" t="s">
        <v>231</v>
      </c>
      <c r="DN26" s="1">
        <v>13</v>
      </c>
      <c r="DO26" s="36" t="s">
        <v>231</v>
      </c>
      <c r="DP26" s="1">
        <v>10</v>
      </c>
      <c r="DQ26" s="36" t="s">
        <v>231</v>
      </c>
      <c r="DR26" s="1">
        <v>10</v>
      </c>
      <c r="DS26" s="36" t="s">
        <v>231</v>
      </c>
      <c r="DT26" s="1">
        <v>11</v>
      </c>
      <c r="DU26" s="36" t="s">
        <v>231</v>
      </c>
      <c r="DV26" s="1">
        <v>14</v>
      </c>
      <c r="DW26" s="36" t="s">
        <v>231</v>
      </c>
      <c r="DX26" s="1">
        <v>4.5999999999999996</v>
      </c>
      <c r="DY26" s="36" t="s">
        <v>231</v>
      </c>
      <c r="DZ26" s="1">
        <v>4.5999999999999996</v>
      </c>
      <c r="EA26" s="36" t="s">
        <v>231</v>
      </c>
      <c r="EB26" s="1">
        <v>10</v>
      </c>
      <c r="EC26" s="36" t="s">
        <v>231</v>
      </c>
      <c r="ED26" s="1">
        <v>12</v>
      </c>
      <c r="EE26" s="136" t="s">
        <v>231</v>
      </c>
      <c r="EF26" s="126"/>
      <c r="EG26" s="46">
        <v>1</v>
      </c>
      <c r="EH26" s="36" t="str">
        <f>'Neocate® &amp; Pepticate™ DRI Calc'!$K30</f>
        <v>Vitamin A</v>
      </c>
      <c r="EI26" s="37">
        <v>1200</v>
      </c>
      <c r="EJ26" s="1" t="s">
        <v>232</v>
      </c>
      <c r="EK26" s="1" t="s">
        <v>56</v>
      </c>
      <c r="EL26" s="1">
        <v>750</v>
      </c>
      <c r="EM26" s="1" t="s">
        <v>232</v>
      </c>
      <c r="EN26" s="1" t="s">
        <v>56</v>
      </c>
      <c r="EO26" s="1">
        <v>700</v>
      </c>
      <c r="EP26" s="1" t="s">
        <v>232</v>
      </c>
      <c r="EQ26" s="1" t="s">
        <v>56</v>
      </c>
      <c r="ER26" s="1">
        <v>900</v>
      </c>
      <c r="ES26" s="1" t="s">
        <v>232</v>
      </c>
      <c r="ET26" s="1" t="s">
        <v>56</v>
      </c>
      <c r="EU26" s="1">
        <v>400</v>
      </c>
      <c r="EV26" s="36" t="s">
        <v>231</v>
      </c>
      <c r="EW26" s="1" t="s">
        <v>57</v>
      </c>
      <c r="EX26" s="1">
        <v>400</v>
      </c>
      <c r="EY26" s="36" t="s">
        <v>231</v>
      </c>
      <c r="EZ26" s="1" t="s">
        <v>57</v>
      </c>
      <c r="FA26" s="1">
        <v>300</v>
      </c>
      <c r="FB26" s="1" t="s">
        <v>232</v>
      </c>
      <c r="FC26" s="1" t="s">
        <v>56</v>
      </c>
      <c r="FD26" s="1">
        <v>300</v>
      </c>
      <c r="FE26" s="1" t="s">
        <v>232</v>
      </c>
      <c r="FF26" s="1" t="s">
        <v>56</v>
      </c>
      <c r="FG26" s="1">
        <v>700</v>
      </c>
      <c r="FH26" s="1" t="s">
        <v>232</v>
      </c>
      <c r="FI26" s="1" t="s">
        <v>56</v>
      </c>
      <c r="FJ26" s="1">
        <v>900</v>
      </c>
      <c r="FK26" s="1" t="s">
        <v>232</v>
      </c>
      <c r="FL26" s="1" t="s">
        <v>56</v>
      </c>
      <c r="FM26" s="1">
        <v>700</v>
      </c>
      <c r="FN26" s="1" t="s">
        <v>232</v>
      </c>
      <c r="FO26" s="1" t="s">
        <v>56</v>
      </c>
      <c r="FP26" s="1">
        <v>1300</v>
      </c>
      <c r="FQ26" s="1" t="s">
        <v>232</v>
      </c>
      <c r="FR26" s="1" t="s">
        <v>56</v>
      </c>
      <c r="FS26" s="1">
        <v>900</v>
      </c>
      <c r="FT26" s="1" t="s">
        <v>232</v>
      </c>
      <c r="FU26" s="1" t="s">
        <v>56</v>
      </c>
      <c r="FV26" s="1">
        <v>770</v>
      </c>
      <c r="FW26" s="1" t="s">
        <v>232</v>
      </c>
      <c r="FX26" s="1" t="s">
        <v>56</v>
      </c>
      <c r="FY26" s="1">
        <v>700</v>
      </c>
      <c r="FZ26" s="1" t="s">
        <v>232</v>
      </c>
      <c r="GA26" s="1" t="s">
        <v>56</v>
      </c>
      <c r="GB26" s="1">
        <v>1300</v>
      </c>
      <c r="GC26" s="1" t="s">
        <v>232</v>
      </c>
      <c r="GD26" s="1" t="s">
        <v>56</v>
      </c>
      <c r="GE26" s="1">
        <v>900</v>
      </c>
      <c r="GF26" s="1" t="s">
        <v>232</v>
      </c>
      <c r="GG26" s="1" t="s">
        <v>56</v>
      </c>
      <c r="GH26" s="1">
        <v>770</v>
      </c>
      <c r="GI26" s="1" t="s">
        <v>232</v>
      </c>
      <c r="GJ26" s="1" t="s">
        <v>56</v>
      </c>
      <c r="GK26" s="1">
        <v>400</v>
      </c>
      <c r="GL26" s="1" t="s">
        <v>232</v>
      </c>
      <c r="GM26" s="1" t="s">
        <v>56</v>
      </c>
      <c r="GN26" s="1">
        <v>400</v>
      </c>
      <c r="GO26" s="1" t="s">
        <v>232</v>
      </c>
      <c r="GP26" s="1" t="s">
        <v>56</v>
      </c>
      <c r="GQ26" s="1">
        <v>700</v>
      </c>
      <c r="GR26" s="1" t="s">
        <v>232</v>
      </c>
      <c r="GS26" s="1" t="s">
        <v>56</v>
      </c>
      <c r="GT26" s="1">
        <v>900</v>
      </c>
      <c r="GU26" s="1" t="s">
        <v>232</v>
      </c>
      <c r="GV26" s="1" t="s">
        <v>56</v>
      </c>
      <c r="GW26" s="1">
        <v>500</v>
      </c>
      <c r="GX26" s="36" t="s">
        <v>231</v>
      </c>
      <c r="GY26" s="1" t="s">
        <v>57</v>
      </c>
      <c r="GZ26" s="1">
        <v>500</v>
      </c>
      <c r="HA26" s="36" t="s">
        <v>231</v>
      </c>
      <c r="HB26" s="1" t="s">
        <v>57</v>
      </c>
      <c r="HC26" s="1">
        <v>600</v>
      </c>
      <c r="HD26" s="1" t="s">
        <v>232</v>
      </c>
      <c r="HE26" s="1" t="s">
        <v>56</v>
      </c>
      <c r="HF26" s="1">
        <v>600</v>
      </c>
      <c r="HG26" s="1" t="s">
        <v>232</v>
      </c>
      <c r="HH26" s="43" t="s">
        <v>56</v>
      </c>
      <c r="HI26" s="1"/>
      <c r="HJ26" s="35">
        <v>9</v>
      </c>
      <c r="HK26" s="36" t="str">
        <f>'Neocate® &amp; Pepticate™ DRI Calc'!$K56</f>
        <v>Molybdenum</v>
      </c>
      <c r="HL26" s="37">
        <v>50</v>
      </c>
      <c r="HM26" s="1" t="s">
        <v>232</v>
      </c>
      <c r="HN26" s="1" t="s">
        <v>56</v>
      </c>
      <c r="HO26" s="1">
        <v>50</v>
      </c>
      <c r="HP26" s="1" t="s">
        <v>232</v>
      </c>
      <c r="HQ26" s="1" t="s">
        <v>56</v>
      </c>
      <c r="HR26" s="1">
        <v>45</v>
      </c>
      <c r="HS26" s="1" t="s">
        <v>232</v>
      </c>
      <c r="HT26" s="1" t="s">
        <v>56</v>
      </c>
      <c r="HU26" s="1">
        <v>45</v>
      </c>
      <c r="HV26" s="1" t="s">
        <v>232</v>
      </c>
      <c r="HW26" s="1" t="s">
        <v>56</v>
      </c>
      <c r="HX26" s="1">
        <v>2</v>
      </c>
      <c r="HY26" s="36" t="s">
        <v>231</v>
      </c>
      <c r="HZ26" s="1" t="s">
        <v>56</v>
      </c>
      <c r="IA26" s="1">
        <v>2</v>
      </c>
      <c r="IB26" s="36" t="s">
        <v>231</v>
      </c>
      <c r="IC26" s="1" t="s">
        <v>56</v>
      </c>
      <c r="ID26" s="1">
        <v>17</v>
      </c>
      <c r="IE26" s="1" t="s">
        <v>232</v>
      </c>
      <c r="IF26" s="1" t="s">
        <v>56</v>
      </c>
      <c r="IG26" s="1">
        <v>17</v>
      </c>
      <c r="IH26" s="1" t="s">
        <v>232</v>
      </c>
      <c r="II26" s="1" t="s">
        <v>56</v>
      </c>
      <c r="IJ26" s="1">
        <v>43</v>
      </c>
      <c r="IK26" s="1" t="s">
        <v>232</v>
      </c>
      <c r="IL26" s="1" t="s">
        <v>56</v>
      </c>
      <c r="IM26" s="1">
        <v>43</v>
      </c>
      <c r="IN26" s="1" t="s">
        <v>232</v>
      </c>
      <c r="IO26" s="1" t="s">
        <v>56</v>
      </c>
      <c r="IP26" s="1">
        <v>45</v>
      </c>
      <c r="IQ26" s="1" t="s">
        <v>232</v>
      </c>
      <c r="IR26" s="1" t="s">
        <v>56</v>
      </c>
      <c r="IS26" s="1">
        <v>50</v>
      </c>
      <c r="IT26" s="1" t="s">
        <v>232</v>
      </c>
      <c r="IU26" s="1" t="s">
        <v>56</v>
      </c>
      <c r="IV26" s="1">
        <v>45</v>
      </c>
      <c r="IW26" s="1" t="s">
        <v>232</v>
      </c>
      <c r="IX26" s="1" t="s">
        <v>56</v>
      </c>
      <c r="IY26" s="1">
        <v>50</v>
      </c>
      <c r="IZ26" s="1" t="s">
        <v>232</v>
      </c>
      <c r="JA26" s="1" t="s">
        <v>56</v>
      </c>
      <c r="JB26" s="1">
        <v>45</v>
      </c>
      <c r="JC26" s="1" t="s">
        <v>232</v>
      </c>
      <c r="JD26" s="1" t="s">
        <v>56</v>
      </c>
      <c r="JE26" s="1">
        <v>50</v>
      </c>
      <c r="JF26" s="1" t="s">
        <v>232</v>
      </c>
      <c r="JG26" s="1" t="s">
        <v>56</v>
      </c>
      <c r="JH26" s="1">
        <v>45</v>
      </c>
      <c r="JI26" s="1" t="s">
        <v>232</v>
      </c>
      <c r="JJ26" s="1" t="s">
        <v>56</v>
      </c>
      <c r="JK26" s="1">
        <v>50</v>
      </c>
      <c r="JL26" s="1" t="s">
        <v>232</v>
      </c>
      <c r="JM26" s="1" t="s">
        <v>56</v>
      </c>
      <c r="JN26" s="1">
        <v>22</v>
      </c>
      <c r="JO26" s="1" t="s">
        <v>232</v>
      </c>
      <c r="JP26" s="1" t="s">
        <v>56</v>
      </c>
      <c r="JQ26" s="1">
        <v>22</v>
      </c>
      <c r="JR26" s="1" t="s">
        <v>232</v>
      </c>
      <c r="JS26" s="1" t="s">
        <v>56</v>
      </c>
      <c r="JT26" s="1">
        <v>45</v>
      </c>
      <c r="JU26" s="1" t="s">
        <v>232</v>
      </c>
      <c r="JV26" s="1" t="s">
        <v>56</v>
      </c>
      <c r="JW26" s="1">
        <v>45</v>
      </c>
      <c r="JX26" s="1" t="s">
        <v>232</v>
      </c>
      <c r="JY26" s="1" t="s">
        <v>56</v>
      </c>
      <c r="JZ26" s="1">
        <v>3</v>
      </c>
      <c r="KA26" s="36" t="s">
        <v>231</v>
      </c>
      <c r="KB26" s="1" t="s">
        <v>56</v>
      </c>
      <c r="KC26" s="1">
        <v>3</v>
      </c>
      <c r="KD26" s="36" t="s">
        <v>231</v>
      </c>
      <c r="KE26" s="1" t="s">
        <v>56</v>
      </c>
      <c r="KF26" s="1">
        <v>34</v>
      </c>
      <c r="KG26" s="1" t="s">
        <v>232</v>
      </c>
      <c r="KH26" s="1" t="s">
        <v>56</v>
      </c>
      <c r="KI26" s="1">
        <v>34</v>
      </c>
      <c r="KJ26" s="1" t="s">
        <v>232</v>
      </c>
      <c r="KK26" s="43" t="s">
        <v>56</v>
      </c>
      <c r="KL26" s="1"/>
      <c r="KM26" s="93"/>
      <c r="KN26" s="76"/>
      <c r="KO26" s="76"/>
    </row>
    <row r="27" spans="1:301" ht="21">
      <c r="A27" s="92"/>
      <c r="B27" s="92"/>
      <c r="C27" s="92"/>
      <c r="D27" s="80"/>
      <c r="E27" s="80"/>
      <c r="F27" s="80"/>
      <c r="G27" s="80"/>
      <c r="H27" s="80"/>
      <c r="I27" s="80"/>
      <c r="J27" s="80"/>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4"/>
      <c r="BN27" s="74"/>
      <c r="BO27" s="74"/>
      <c r="BP27" s="74"/>
      <c r="BQ27" s="74"/>
      <c r="BR27" s="74"/>
      <c r="BS27" s="74"/>
      <c r="BT27" s="74"/>
      <c r="BU27" s="74"/>
      <c r="BV27" s="74"/>
      <c r="BW27" s="74"/>
      <c r="BX27" s="74"/>
      <c r="BY27" s="74"/>
      <c r="BZ27" s="74"/>
      <c r="CA27" s="74"/>
      <c r="CB27" s="116"/>
      <c r="CC27" s="124" t="s">
        <v>244</v>
      </c>
      <c r="CD27" s="35">
        <v>11</v>
      </c>
      <c r="CE27" s="36" t="str">
        <f>'Neocate® &amp; Pepticate™ DRI Calc'!$K13</f>
        <v>Prebiotic Fiber‡</v>
      </c>
      <c r="CF27" s="37">
        <v>29</v>
      </c>
      <c r="CG27" s="36" t="s">
        <v>231</v>
      </c>
      <c r="CH27" s="1">
        <v>28</v>
      </c>
      <c r="CI27" s="36" t="s">
        <v>231</v>
      </c>
      <c r="CJ27" s="1">
        <v>21</v>
      </c>
      <c r="CK27" s="1" t="s">
        <v>231</v>
      </c>
      <c r="CL27" s="1">
        <v>30</v>
      </c>
      <c r="CM27" s="1" t="s">
        <v>231</v>
      </c>
      <c r="CN27" s="1"/>
      <c r="CO27" s="36" t="s">
        <v>39</v>
      </c>
      <c r="CP27" s="38"/>
      <c r="CQ27" s="36" t="s">
        <v>39</v>
      </c>
      <c r="CR27" s="1">
        <v>19</v>
      </c>
      <c r="CS27" s="1" t="s">
        <v>231</v>
      </c>
      <c r="CT27" s="1">
        <v>19</v>
      </c>
      <c r="CU27" s="1" t="s">
        <v>231</v>
      </c>
      <c r="CV27" s="1">
        <v>26</v>
      </c>
      <c r="CW27" s="1" t="s">
        <v>231</v>
      </c>
      <c r="CX27" s="1">
        <v>38</v>
      </c>
      <c r="CY27" s="1" t="s">
        <v>231</v>
      </c>
      <c r="CZ27" s="1">
        <v>25</v>
      </c>
      <c r="DA27" s="1" t="s">
        <v>231</v>
      </c>
      <c r="DB27" s="1">
        <v>29</v>
      </c>
      <c r="DC27" s="1" t="s">
        <v>231</v>
      </c>
      <c r="DD27" s="1">
        <v>38</v>
      </c>
      <c r="DE27" s="1" t="s">
        <v>231</v>
      </c>
      <c r="DF27" s="1">
        <v>28</v>
      </c>
      <c r="DG27" s="1" t="s">
        <v>231</v>
      </c>
      <c r="DH27" s="1">
        <v>25</v>
      </c>
      <c r="DI27" s="1" t="s">
        <v>231</v>
      </c>
      <c r="DJ27" s="1">
        <v>29</v>
      </c>
      <c r="DK27" s="1" t="s">
        <v>231</v>
      </c>
      <c r="DL27" s="1">
        <v>38</v>
      </c>
      <c r="DM27" s="1" t="s">
        <v>231</v>
      </c>
      <c r="DN27" s="1">
        <v>28</v>
      </c>
      <c r="DO27" s="1" t="s">
        <v>231</v>
      </c>
      <c r="DP27" s="1">
        <v>25</v>
      </c>
      <c r="DQ27" s="1" t="s">
        <v>231</v>
      </c>
      <c r="DR27" s="1">
        <v>25</v>
      </c>
      <c r="DS27" s="36" t="s">
        <v>231</v>
      </c>
      <c r="DT27" s="1">
        <v>21</v>
      </c>
      <c r="DU27" s="36" t="s">
        <v>231</v>
      </c>
      <c r="DV27" s="1">
        <v>30</v>
      </c>
      <c r="DW27" s="36" t="s">
        <v>231</v>
      </c>
      <c r="DX27" s="1"/>
      <c r="DY27" s="36" t="s">
        <v>39</v>
      </c>
      <c r="DZ27" s="1"/>
      <c r="EA27" s="36" t="s">
        <v>39</v>
      </c>
      <c r="EB27" s="1">
        <v>26</v>
      </c>
      <c r="EC27" s="36" t="s">
        <v>231</v>
      </c>
      <c r="ED27" s="1">
        <v>31</v>
      </c>
      <c r="EE27" s="136" t="s">
        <v>231</v>
      </c>
      <c r="EF27" s="126"/>
      <c r="EG27" s="46">
        <v>9</v>
      </c>
      <c r="EH27" s="26" t="str">
        <f>'Neocate® &amp; Pepticate™ DRI Calc'!$K38</f>
        <v>Vitamin B12</v>
      </c>
      <c r="EI27" s="37">
        <v>2.8</v>
      </c>
      <c r="EJ27" s="1" t="s">
        <v>232</v>
      </c>
      <c r="EK27" s="1" t="s">
        <v>56</v>
      </c>
      <c r="EL27" s="1">
        <v>2.6</v>
      </c>
      <c r="EM27" s="1" t="s">
        <v>232</v>
      </c>
      <c r="EN27" s="1" t="s">
        <v>56</v>
      </c>
      <c r="EO27" s="1">
        <v>2.4</v>
      </c>
      <c r="EP27" s="1" t="s">
        <v>232</v>
      </c>
      <c r="EQ27" s="1" t="s">
        <v>56</v>
      </c>
      <c r="ER27" s="1">
        <v>2.4</v>
      </c>
      <c r="ES27" s="1" t="s">
        <v>232</v>
      </c>
      <c r="ET27" s="1" t="s">
        <v>56</v>
      </c>
      <c r="EU27" s="1">
        <v>0.4</v>
      </c>
      <c r="EV27" s="36" t="s">
        <v>231</v>
      </c>
      <c r="EW27" s="1" t="s">
        <v>56</v>
      </c>
      <c r="EX27" s="1">
        <v>0.4</v>
      </c>
      <c r="EY27" s="36" t="s">
        <v>231</v>
      </c>
      <c r="EZ27" s="1" t="s">
        <v>56</v>
      </c>
      <c r="FA27" s="1">
        <v>0.9</v>
      </c>
      <c r="FB27" s="1" t="s">
        <v>232</v>
      </c>
      <c r="FC27" s="1" t="s">
        <v>56</v>
      </c>
      <c r="FD27" s="1">
        <v>0.9</v>
      </c>
      <c r="FE27" s="1" t="s">
        <v>232</v>
      </c>
      <c r="FF27" s="1" t="s">
        <v>56</v>
      </c>
      <c r="FG27" s="1">
        <v>2.4</v>
      </c>
      <c r="FH27" s="1" t="s">
        <v>232</v>
      </c>
      <c r="FI27" s="1" t="s">
        <v>56</v>
      </c>
      <c r="FJ27" s="1">
        <v>2.4</v>
      </c>
      <c r="FK27" s="1" t="s">
        <v>232</v>
      </c>
      <c r="FL27" s="1" t="s">
        <v>56</v>
      </c>
      <c r="FM27" s="1">
        <v>2.4</v>
      </c>
      <c r="FN27" s="1" t="s">
        <v>232</v>
      </c>
      <c r="FO27" s="1" t="s">
        <v>56</v>
      </c>
      <c r="FP27" s="1">
        <v>2.8</v>
      </c>
      <c r="FQ27" s="1" t="s">
        <v>232</v>
      </c>
      <c r="FR27" s="1" t="s">
        <v>56</v>
      </c>
      <c r="FS27" s="1">
        <v>2.4</v>
      </c>
      <c r="FT27" s="1" t="s">
        <v>232</v>
      </c>
      <c r="FU27" s="1" t="s">
        <v>56</v>
      </c>
      <c r="FV27" s="1">
        <v>2.6</v>
      </c>
      <c r="FW27" s="1" t="s">
        <v>232</v>
      </c>
      <c r="FX27" s="1" t="s">
        <v>56</v>
      </c>
      <c r="FY27" s="1">
        <v>2.4</v>
      </c>
      <c r="FZ27" s="1" t="s">
        <v>232</v>
      </c>
      <c r="GA27" s="1" t="s">
        <v>56</v>
      </c>
      <c r="GB27" s="1">
        <v>2.8</v>
      </c>
      <c r="GC27" s="1" t="s">
        <v>232</v>
      </c>
      <c r="GD27" s="1" t="s">
        <v>56</v>
      </c>
      <c r="GE27" s="1">
        <v>2.4</v>
      </c>
      <c r="GF27" s="1" t="s">
        <v>232</v>
      </c>
      <c r="GG27" s="1" t="s">
        <v>56</v>
      </c>
      <c r="GH27" s="1">
        <v>2.6</v>
      </c>
      <c r="GI27" s="1" t="s">
        <v>232</v>
      </c>
      <c r="GJ27" s="1" t="s">
        <v>56</v>
      </c>
      <c r="GK27" s="1">
        <v>1.2</v>
      </c>
      <c r="GL27" s="1" t="s">
        <v>232</v>
      </c>
      <c r="GM27" s="1" t="s">
        <v>56</v>
      </c>
      <c r="GN27" s="1">
        <v>1.2</v>
      </c>
      <c r="GO27" s="1" t="s">
        <v>232</v>
      </c>
      <c r="GP27" s="1" t="s">
        <v>56</v>
      </c>
      <c r="GQ27" s="1">
        <v>2.4</v>
      </c>
      <c r="GR27" s="1" t="s">
        <v>232</v>
      </c>
      <c r="GS27" s="1" t="s">
        <v>56</v>
      </c>
      <c r="GT27" s="1">
        <v>2.4</v>
      </c>
      <c r="GU27" s="1" t="s">
        <v>232</v>
      </c>
      <c r="GV27" s="1" t="s">
        <v>56</v>
      </c>
      <c r="GW27" s="1">
        <v>0.5</v>
      </c>
      <c r="GX27" s="36" t="s">
        <v>231</v>
      </c>
      <c r="GY27" s="1" t="s">
        <v>56</v>
      </c>
      <c r="GZ27" s="1">
        <v>0.5</v>
      </c>
      <c r="HA27" s="36" t="s">
        <v>231</v>
      </c>
      <c r="HB27" s="1" t="s">
        <v>56</v>
      </c>
      <c r="HC27" s="1">
        <v>1.8</v>
      </c>
      <c r="HD27" s="1" t="s">
        <v>232</v>
      </c>
      <c r="HE27" s="1" t="s">
        <v>56</v>
      </c>
      <c r="HF27" s="1">
        <v>1.8</v>
      </c>
      <c r="HG27" s="1" t="s">
        <v>232</v>
      </c>
      <c r="HH27" s="43" t="s">
        <v>56</v>
      </c>
      <c r="HI27" s="1"/>
      <c r="HJ27" s="35">
        <v>2</v>
      </c>
      <c r="HK27" s="36" t="str">
        <f>'Neocate® &amp; Pepticate™ DRI Calc'!$K49</f>
        <v>Phosphorus</v>
      </c>
      <c r="HL27" s="37">
        <v>1250</v>
      </c>
      <c r="HM27" s="1" t="s">
        <v>232</v>
      </c>
      <c r="HN27" s="1" t="s">
        <v>45</v>
      </c>
      <c r="HO27" s="1">
        <v>1250</v>
      </c>
      <c r="HP27" s="1" t="s">
        <v>232</v>
      </c>
      <c r="HQ27" s="1" t="s">
        <v>45</v>
      </c>
      <c r="HR27" s="1">
        <v>700</v>
      </c>
      <c r="HS27" s="1" t="s">
        <v>232</v>
      </c>
      <c r="HT27" s="1" t="s">
        <v>45</v>
      </c>
      <c r="HU27" s="1">
        <v>700</v>
      </c>
      <c r="HV27" s="1" t="s">
        <v>232</v>
      </c>
      <c r="HW27" s="1" t="s">
        <v>45</v>
      </c>
      <c r="HX27" s="1">
        <v>100</v>
      </c>
      <c r="HY27" s="36" t="s">
        <v>231</v>
      </c>
      <c r="HZ27" s="1" t="s">
        <v>45</v>
      </c>
      <c r="IA27" s="1">
        <v>100</v>
      </c>
      <c r="IB27" s="36" t="s">
        <v>231</v>
      </c>
      <c r="IC27" s="1" t="s">
        <v>45</v>
      </c>
      <c r="ID27" s="1">
        <v>460</v>
      </c>
      <c r="IE27" s="1" t="s">
        <v>232</v>
      </c>
      <c r="IF27" s="1" t="s">
        <v>45</v>
      </c>
      <c r="IG27" s="1">
        <v>460</v>
      </c>
      <c r="IH27" s="1" t="s">
        <v>232</v>
      </c>
      <c r="II27" s="1" t="s">
        <v>45</v>
      </c>
      <c r="IJ27" s="1">
        <v>1250</v>
      </c>
      <c r="IK27" s="1" t="s">
        <v>232</v>
      </c>
      <c r="IL27" s="1" t="s">
        <v>45</v>
      </c>
      <c r="IM27" s="1">
        <v>1250</v>
      </c>
      <c r="IN27" s="1" t="s">
        <v>232</v>
      </c>
      <c r="IO27" s="1" t="s">
        <v>45</v>
      </c>
      <c r="IP27" s="1">
        <v>700</v>
      </c>
      <c r="IQ27" s="1" t="s">
        <v>232</v>
      </c>
      <c r="IR27" s="1" t="s">
        <v>45</v>
      </c>
      <c r="IS27" s="1">
        <v>700</v>
      </c>
      <c r="IT27" s="1" t="s">
        <v>232</v>
      </c>
      <c r="IU27" s="1" t="s">
        <v>45</v>
      </c>
      <c r="IV27" s="1">
        <v>700</v>
      </c>
      <c r="IW27" s="1" t="s">
        <v>232</v>
      </c>
      <c r="IX27" s="1" t="s">
        <v>45</v>
      </c>
      <c r="IY27" s="1">
        <v>700</v>
      </c>
      <c r="IZ27" s="1" t="s">
        <v>232</v>
      </c>
      <c r="JA27" s="1" t="s">
        <v>45</v>
      </c>
      <c r="JB27" s="1">
        <v>700</v>
      </c>
      <c r="JC27" s="1" t="s">
        <v>232</v>
      </c>
      <c r="JD27" s="1" t="s">
        <v>45</v>
      </c>
      <c r="JE27" s="1">
        <v>700</v>
      </c>
      <c r="JF27" s="1" t="s">
        <v>232</v>
      </c>
      <c r="JG27" s="1" t="s">
        <v>45</v>
      </c>
      <c r="JH27" s="1">
        <v>700</v>
      </c>
      <c r="JI27" s="1" t="s">
        <v>232</v>
      </c>
      <c r="JJ27" s="1" t="s">
        <v>45</v>
      </c>
      <c r="JK27" s="1">
        <v>700</v>
      </c>
      <c r="JL27" s="1" t="s">
        <v>232</v>
      </c>
      <c r="JM27" s="1" t="s">
        <v>45</v>
      </c>
      <c r="JN27" s="1">
        <v>500</v>
      </c>
      <c r="JO27" s="1" t="s">
        <v>232</v>
      </c>
      <c r="JP27" s="1" t="s">
        <v>45</v>
      </c>
      <c r="JQ27" s="1">
        <v>500</v>
      </c>
      <c r="JR27" s="1" t="s">
        <v>232</v>
      </c>
      <c r="JS27" s="1" t="s">
        <v>45</v>
      </c>
      <c r="JT27" s="1">
        <v>700</v>
      </c>
      <c r="JU27" s="1" t="s">
        <v>232</v>
      </c>
      <c r="JV27" s="1" t="s">
        <v>45</v>
      </c>
      <c r="JW27" s="1">
        <v>700</v>
      </c>
      <c r="JX27" s="1" t="s">
        <v>232</v>
      </c>
      <c r="JY27" s="1" t="s">
        <v>45</v>
      </c>
      <c r="JZ27" s="1">
        <v>275</v>
      </c>
      <c r="KA27" s="36" t="s">
        <v>231</v>
      </c>
      <c r="KB27" s="1" t="s">
        <v>45</v>
      </c>
      <c r="KC27" s="1">
        <v>275</v>
      </c>
      <c r="KD27" s="36" t="s">
        <v>231</v>
      </c>
      <c r="KE27" s="1" t="s">
        <v>45</v>
      </c>
      <c r="KF27" s="1">
        <v>1250</v>
      </c>
      <c r="KG27" s="1" t="s">
        <v>232</v>
      </c>
      <c r="KH27" s="1" t="s">
        <v>45</v>
      </c>
      <c r="KI27" s="1">
        <v>1250</v>
      </c>
      <c r="KJ27" s="1" t="s">
        <v>232</v>
      </c>
      <c r="KK27" s="43" t="s">
        <v>45</v>
      </c>
      <c r="KL27" s="1"/>
      <c r="KM27" s="93"/>
      <c r="KN27" s="76"/>
      <c r="KO27" s="76"/>
    </row>
    <row r="28" spans="1:301" ht="21">
      <c r="A28" s="92"/>
      <c r="B28" s="92"/>
      <c r="C28" s="92"/>
      <c r="D28" s="80"/>
      <c r="E28" s="80"/>
      <c r="F28" s="80"/>
      <c r="G28" s="80"/>
      <c r="H28" s="80"/>
      <c r="I28" s="80"/>
      <c r="J28" s="80"/>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4"/>
      <c r="BN28" s="74"/>
      <c r="BO28" s="74"/>
      <c r="BP28" s="74"/>
      <c r="BQ28" s="74"/>
      <c r="BR28" s="74"/>
      <c r="BS28" s="74"/>
      <c r="BT28" s="74"/>
      <c r="BU28" s="74"/>
      <c r="BV28" s="74"/>
      <c r="BW28" s="74"/>
      <c r="BX28" s="74"/>
      <c r="BY28" s="74"/>
      <c r="BZ28" s="74"/>
      <c r="CA28" s="74"/>
      <c r="CB28" s="116"/>
      <c r="CC28" s="124" t="s">
        <v>245</v>
      </c>
      <c r="CD28" s="35">
        <v>2</v>
      </c>
      <c r="CE28" s="36" t="str">
        <f>'Neocate® &amp; Pepticate™ DRI Calc'!$K10</f>
        <v>Protein</v>
      </c>
      <c r="CF28" s="37">
        <v>71</v>
      </c>
      <c r="CG28" s="36" t="s">
        <v>232</v>
      </c>
      <c r="CH28" s="1">
        <v>71</v>
      </c>
      <c r="CI28" s="36" t="s">
        <v>232</v>
      </c>
      <c r="CJ28" s="1">
        <v>46</v>
      </c>
      <c r="CK28" s="36" t="s">
        <v>232</v>
      </c>
      <c r="CL28" s="1">
        <v>56</v>
      </c>
      <c r="CM28" s="36" t="s">
        <v>232</v>
      </c>
      <c r="CN28" s="1">
        <v>9.1</v>
      </c>
      <c r="CO28" s="36" t="s">
        <v>231</v>
      </c>
      <c r="CP28" s="1">
        <v>9.1</v>
      </c>
      <c r="CQ28" s="36" t="s">
        <v>231</v>
      </c>
      <c r="CR28" s="1">
        <v>13</v>
      </c>
      <c r="CS28" s="36" t="s">
        <v>232</v>
      </c>
      <c r="CT28" s="1">
        <v>13</v>
      </c>
      <c r="CU28" s="36" t="s">
        <v>232</v>
      </c>
      <c r="CV28" s="1">
        <v>46</v>
      </c>
      <c r="CW28" s="36" t="s">
        <v>232</v>
      </c>
      <c r="CX28" s="1">
        <v>52</v>
      </c>
      <c r="CY28" s="36" t="s">
        <v>232</v>
      </c>
      <c r="CZ28" s="1">
        <v>46</v>
      </c>
      <c r="DA28" s="36" t="s">
        <v>232</v>
      </c>
      <c r="DB28" s="1">
        <v>71</v>
      </c>
      <c r="DC28" s="36" t="s">
        <v>232</v>
      </c>
      <c r="DD28" s="1">
        <v>56</v>
      </c>
      <c r="DE28" s="36" t="s">
        <v>232</v>
      </c>
      <c r="DF28" s="1">
        <v>71</v>
      </c>
      <c r="DG28" s="36" t="s">
        <v>232</v>
      </c>
      <c r="DH28" s="1">
        <v>46</v>
      </c>
      <c r="DI28" s="36" t="s">
        <v>232</v>
      </c>
      <c r="DJ28" s="1">
        <v>71</v>
      </c>
      <c r="DK28" s="36" t="s">
        <v>232</v>
      </c>
      <c r="DL28" s="1">
        <v>56</v>
      </c>
      <c r="DM28" s="36" t="s">
        <v>232</v>
      </c>
      <c r="DN28" s="1">
        <v>71</v>
      </c>
      <c r="DO28" s="36" t="s">
        <v>232</v>
      </c>
      <c r="DP28" s="1">
        <v>19</v>
      </c>
      <c r="DQ28" s="36" t="s">
        <v>232</v>
      </c>
      <c r="DR28" s="1">
        <v>19</v>
      </c>
      <c r="DS28" s="36" t="s">
        <v>232</v>
      </c>
      <c r="DT28" s="1">
        <v>46</v>
      </c>
      <c r="DU28" s="36" t="s">
        <v>232</v>
      </c>
      <c r="DV28" s="1">
        <v>56</v>
      </c>
      <c r="DW28" s="36" t="s">
        <v>232</v>
      </c>
      <c r="DX28" s="1">
        <v>11</v>
      </c>
      <c r="DY28" s="36" t="s">
        <v>232</v>
      </c>
      <c r="DZ28" s="1">
        <v>11</v>
      </c>
      <c r="EA28" s="36" t="s">
        <v>232</v>
      </c>
      <c r="EB28" s="1">
        <v>34</v>
      </c>
      <c r="EC28" s="36" t="s">
        <v>232</v>
      </c>
      <c r="ED28" s="1">
        <v>34</v>
      </c>
      <c r="EE28" s="136" t="s">
        <v>232</v>
      </c>
      <c r="EF28" s="126"/>
      <c r="EG28" s="46">
        <v>8</v>
      </c>
      <c r="EH28" s="26" t="str">
        <f>'Neocate® &amp; Pepticate™ DRI Calc'!$K37</f>
        <v>Vitamin B6</v>
      </c>
      <c r="EI28" s="37">
        <v>2</v>
      </c>
      <c r="EJ28" s="1" t="s">
        <v>232</v>
      </c>
      <c r="EK28" s="1" t="s">
        <v>45</v>
      </c>
      <c r="EL28" s="1">
        <v>1.9</v>
      </c>
      <c r="EM28" s="1" t="s">
        <v>232</v>
      </c>
      <c r="EN28" s="1" t="s">
        <v>45</v>
      </c>
      <c r="EO28" s="1">
        <v>1.5</v>
      </c>
      <c r="EP28" s="1" t="s">
        <v>232</v>
      </c>
      <c r="EQ28" s="1" t="s">
        <v>45</v>
      </c>
      <c r="ER28" s="1">
        <v>1.7</v>
      </c>
      <c r="ES28" s="1" t="s">
        <v>232</v>
      </c>
      <c r="ET28" s="1" t="s">
        <v>45</v>
      </c>
      <c r="EU28" s="1">
        <v>100</v>
      </c>
      <c r="EV28" s="36" t="s">
        <v>231</v>
      </c>
      <c r="EW28" s="1" t="s">
        <v>56</v>
      </c>
      <c r="EX28" s="1">
        <v>100</v>
      </c>
      <c r="EY28" s="36" t="s">
        <v>231</v>
      </c>
      <c r="EZ28" s="1" t="s">
        <v>56</v>
      </c>
      <c r="FA28" s="1">
        <v>0.5</v>
      </c>
      <c r="FB28" s="1" t="s">
        <v>232</v>
      </c>
      <c r="FC28" s="1" t="s">
        <v>45</v>
      </c>
      <c r="FD28" s="1">
        <v>0.5</v>
      </c>
      <c r="FE28" s="1" t="s">
        <v>232</v>
      </c>
      <c r="FF28" s="1" t="s">
        <v>45</v>
      </c>
      <c r="FG28" s="1">
        <v>1.2</v>
      </c>
      <c r="FH28" s="1" t="s">
        <v>232</v>
      </c>
      <c r="FI28" s="1" t="s">
        <v>45</v>
      </c>
      <c r="FJ28" s="1">
        <v>1.3</v>
      </c>
      <c r="FK28" s="1" t="s">
        <v>232</v>
      </c>
      <c r="FL28" s="1" t="s">
        <v>45</v>
      </c>
      <c r="FM28" s="1">
        <v>1.3</v>
      </c>
      <c r="FN28" s="1" t="s">
        <v>232</v>
      </c>
      <c r="FO28" s="1" t="s">
        <v>45</v>
      </c>
      <c r="FP28" s="1">
        <v>2</v>
      </c>
      <c r="FQ28" s="1" t="s">
        <v>232</v>
      </c>
      <c r="FR28" s="1" t="s">
        <v>45</v>
      </c>
      <c r="FS28" s="1">
        <v>1.3</v>
      </c>
      <c r="FT28" s="1" t="s">
        <v>232</v>
      </c>
      <c r="FU28" s="1" t="s">
        <v>45</v>
      </c>
      <c r="FV28" s="1">
        <v>1.9</v>
      </c>
      <c r="FW28" s="1" t="s">
        <v>232</v>
      </c>
      <c r="FX28" s="1" t="s">
        <v>45</v>
      </c>
      <c r="FY28" s="1">
        <v>1.3</v>
      </c>
      <c r="FZ28" s="1" t="s">
        <v>232</v>
      </c>
      <c r="GA28" s="1" t="s">
        <v>45</v>
      </c>
      <c r="GB28" s="1">
        <v>2</v>
      </c>
      <c r="GC28" s="1" t="s">
        <v>232</v>
      </c>
      <c r="GD28" s="1" t="s">
        <v>45</v>
      </c>
      <c r="GE28" s="1">
        <v>1.3</v>
      </c>
      <c r="GF28" s="1" t="s">
        <v>232</v>
      </c>
      <c r="GG28" s="1" t="s">
        <v>45</v>
      </c>
      <c r="GH28" s="1">
        <v>1.9</v>
      </c>
      <c r="GI28" s="1" t="s">
        <v>232</v>
      </c>
      <c r="GJ28" s="1" t="s">
        <v>45</v>
      </c>
      <c r="GK28" s="1">
        <v>0.6</v>
      </c>
      <c r="GL28" s="1" t="s">
        <v>232</v>
      </c>
      <c r="GM28" s="1" t="s">
        <v>45</v>
      </c>
      <c r="GN28" s="1">
        <v>0.6</v>
      </c>
      <c r="GO28" s="1" t="s">
        <v>232</v>
      </c>
      <c r="GP28" s="1" t="s">
        <v>45</v>
      </c>
      <c r="GQ28" s="1">
        <v>1.5</v>
      </c>
      <c r="GR28" s="1" t="s">
        <v>232</v>
      </c>
      <c r="GS28" s="1" t="s">
        <v>45</v>
      </c>
      <c r="GT28" s="1">
        <v>1.7</v>
      </c>
      <c r="GU28" s="1" t="s">
        <v>232</v>
      </c>
      <c r="GV28" s="1" t="s">
        <v>45</v>
      </c>
      <c r="GW28" s="1">
        <v>300</v>
      </c>
      <c r="GX28" s="36" t="s">
        <v>231</v>
      </c>
      <c r="GY28" s="1" t="s">
        <v>56</v>
      </c>
      <c r="GZ28" s="1">
        <v>300</v>
      </c>
      <c r="HA28" s="36" t="s">
        <v>231</v>
      </c>
      <c r="HB28" s="1" t="s">
        <v>56</v>
      </c>
      <c r="HC28" s="24">
        <v>1</v>
      </c>
      <c r="HD28" s="1" t="s">
        <v>232</v>
      </c>
      <c r="HE28" s="1" t="s">
        <v>45</v>
      </c>
      <c r="HF28" s="24">
        <v>1</v>
      </c>
      <c r="HG28" s="1" t="s">
        <v>232</v>
      </c>
      <c r="HH28" s="43" t="s">
        <v>45</v>
      </c>
      <c r="HI28" s="1"/>
      <c r="HJ28" s="35">
        <v>13</v>
      </c>
      <c r="HK28" s="36" t="str">
        <f>'Neocate® &amp; Pepticate™ DRI Calc'!$K60</f>
        <v>Potassium</v>
      </c>
      <c r="HL28" s="37">
        <v>2500</v>
      </c>
      <c r="HM28" s="1" t="s">
        <v>231</v>
      </c>
      <c r="HN28" s="1" t="s">
        <v>45</v>
      </c>
      <c r="HO28" s="1">
        <v>2600</v>
      </c>
      <c r="HP28" s="1" t="s">
        <v>231</v>
      </c>
      <c r="HQ28" s="1" t="s">
        <v>45</v>
      </c>
      <c r="HR28" s="1">
        <v>2600</v>
      </c>
      <c r="HS28" s="1" t="s">
        <v>231</v>
      </c>
      <c r="HT28" s="1" t="s">
        <v>45</v>
      </c>
      <c r="HU28" s="1">
        <v>3400</v>
      </c>
      <c r="HV28" s="1" t="s">
        <v>231</v>
      </c>
      <c r="HW28" s="1" t="s">
        <v>45</v>
      </c>
      <c r="HX28" s="1">
        <v>400</v>
      </c>
      <c r="HY28" s="36" t="s">
        <v>231</v>
      </c>
      <c r="HZ28" s="1" t="s">
        <v>45</v>
      </c>
      <c r="IA28" s="1">
        <v>400</v>
      </c>
      <c r="IB28" s="36" t="s">
        <v>231</v>
      </c>
      <c r="IC28" s="1" t="s">
        <v>45</v>
      </c>
      <c r="ID28" s="1">
        <v>2000</v>
      </c>
      <c r="IE28" s="1" t="s">
        <v>231</v>
      </c>
      <c r="IF28" s="1" t="s">
        <v>45</v>
      </c>
      <c r="IG28" s="1">
        <v>2000</v>
      </c>
      <c r="IH28" s="1" t="s">
        <v>231</v>
      </c>
      <c r="II28" s="1" t="s">
        <v>45</v>
      </c>
      <c r="IJ28" s="1">
        <v>2300</v>
      </c>
      <c r="IK28" s="1" t="s">
        <v>231</v>
      </c>
      <c r="IL28" s="1" t="s">
        <v>45</v>
      </c>
      <c r="IM28" s="1">
        <v>3000</v>
      </c>
      <c r="IN28" s="1" t="s">
        <v>231</v>
      </c>
      <c r="IO28" s="1" t="s">
        <v>45</v>
      </c>
      <c r="IP28" s="1">
        <v>2600</v>
      </c>
      <c r="IQ28" s="1" t="s">
        <v>231</v>
      </c>
      <c r="IR28" s="1" t="s">
        <v>45</v>
      </c>
      <c r="IS28" s="1">
        <v>2800</v>
      </c>
      <c r="IT28" s="1" t="s">
        <v>231</v>
      </c>
      <c r="IU28" s="1" t="s">
        <v>45</v>
      </c>
      <c r="IV28" s="1">
        <v>3400</v>
      </c>
      <c r="IW28" s="1" t="s">
        <v>231</v>
      </c>
      <c r="IX28" s="1" t="s">
        <v>45</v>
      </c>
      <c r="IY28" s="1">
        <v>2900</v>
      </c>
      <c r="IZ28" s="1" t="s">
        <v>231</v>
      </c>
      <c r="JA28" s="1" t="s">
        <v>45</v>
      </c>
      <c r="JB28" s="1">
        <v>2600</v>
      </c>
      <c r="JC28" s="1" t="s">
        <v>231</v>
      </c>
      <c r="JD28" s="1" t="s">
        <v>45</v>
      </c>
      <c r="JE28" s="1">
        <v>2800</v>
      </c>
      <c r="JF28" s="1" t="s">
        <v>231</v>
      </c>
      <c r="JG28" s="1" t="s">
        <v>45</v>
      </c>
      <c r="JH28" s="1">
        <v>3400</v>
      </c>
      <c r="JI28" s="1" t="s">
        <v>231</v>
      </c>
      <c r="JJ28" s="1" t="s">
        <v>45</v>
      </c>
      <c r="JK28" s="1">
        <v>2900</v>
      </c>
      <c r="JL28" s="1" t="s">
        <v>231</v>
      </c>
      <c r="JM28" s="1" t="s">
        <v>45</v>
      </c>
      <c r="JN28" s="1">
        <v>2300</v>
      </c>
      <c r="JO28" s="1" t="s">
        <v>231</v>
      </c>
      <c r="JP28" s="1" t="s">
        <v>45</v>
      </c>
      <c r="JQ28" s="1">
        <v>2300</v>
      </c>
      <c r="JR28" s="1" t="s">
        <v>231</v>
      </c>
      <c r="JS28" s="1" t="s">
        <v>45</v>
      </c>
      <c r="JT28" s="1">
        <v>2600</v>
      </c>
      <c r="JU28" s="1" t="s">
        <v>231</v>
      </c>
      <c r="JV28" s="1" t="s">
        <v>45</v>
      </c>
      <c r="JW28" s="1">
        <v>3400</v>
      </c>
      <c r="JX28" s="1" t="s">
        <v>231</v>
      </c>
      <c r="JY28" s="1" t="s">
        <v>45</v>
      </c>
      <c r="JZ28" s="1">
        <v>860</v>
      </c>
      <c r="KA28" s="36" t="s">
        <v>231</v>
      </c>
      <c r="KB28" s="1" t="s">
        <v>45</v>
      </c>
      <c r="KC28" s="1">
        <v>860</v>
      </c>
      <c r="KD28" s="36" t="s">
        <v>231</v>
      </c>
      <c r="KE28" s="1" t="s">
        <v>45</v>
      </c>
      <c r="KF28" s="1">
        <v>2300</v>
      </c>
      <c r="KG28" s="1" t="s">
        <v>231</v>
      </c>
      <c r="KH28" s="1" t="s">
        <v>45</v>
      </c>
      <c r="KI28" s="1">
        <v>2500</v>
      </c>
      <c r="KJ28" s="1" t="s">
        <v>231</v>
      </c>
      <c r="KK28" s="43" t="s">
        <v>45</v>
      </c>
      <c r="KL28" s="1"/>
      <c r="KM28" s="93"/>
      <c r="KN28" s="76"/>
      <c r="KO28" s="76"/>
    </row>
    <row r="29" spans="1:301" ht="21">
      <c r="A29" s="92"/>
      <c r="B29" s="92"/>
      <c r="C29" s="92"/>
      <c r="D29" s="80"/>
      <c r="E29" s="80"/>
      <c r="F29" s="80"/>
      <c r="G29" s="80"/>
      <c r="H29" s="80"/>
      <c r="I29" s="80"/>
      <c r="J29" s="80"/>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4"/>
      <c r="BN29" s="74"/>
      <c r="BO29" s="74"/>
      <c r="BP29" s="74"/>
      <c r="BQ29" s="74"/>
      <c r="BR29" s="74"/>
      <c r="BS29" s="74"/>
      <c r="BT29" s="74"/>
      <c r="BU29" s="74"/>
      <c r="BV29" s="74"/>
      <c r="BW29" s="74"/>
      <c r="BX29" s="74"/>
      <c r="BY29" s="74"/>
      <c r="BZ29" s="74"/>
      <c r="CA29" s="74"/>
      <c r="CB29" s="116"/>
      <c r="CC29" s="124" t="s">
        <v>246</v>
      </c>
      <c r="CD29" s="39">
        <v>7</v>
      </c>
      <c r="CE29" s="40" t="str">
        <f>'Neocate® &amp; Pepticate™ DRI Calc'!$K16</f>
        <v>α-Linolenic Acid</v>
      </c>
      <c r="CF29" s="41">
        <v>1.3</v>
      </c>
      <c r="CG29" s="40" t="s">
        <v>231</v>
      </c>
      <c r="CH29" s="42">
        <v>1.4</v>
      </c>
      <c r="CI29" s="40" t="s">
        <v>231</v>
      </c>
      <c r="CJ29" s="42">
        <v>1.1000000000000001</v>
      </c>
      <c r="CK29" s="40" t="s">
        <v>231</v>
      </c>
      <c r="CL29" s="42">
        <v>1.6</v>
      </c>
      <c r="CM29" s="40" t="s">
        <v>231</v>
      </c>
      <c r="CN29" s="42">
        <v>0.5</v>
      </c>
      <c r="CO29" s="40" t="s">
        <v>231</v>
      </c>
      <c r="CP29" s="42">
        <v>0.5</v>
      </c>
      <c r="CQ29" s="40" t="s">
        <v>231</v>
      </c>
      <c r="CR29" s="42">
        <v>0.7</v>
      </c>
      <c r="CS29" s="40" t="s">
        <v>231</v>
      </c>
      <c r="CT29" s="42">
        <v>0.7</v>
      </c>
      <c r="CU29" s="40" t="s">
        <v>231</v>
      </c>
      <c r="CV29" s="42">
        <v>1.1000000000000001</v>
      </c>
      <c r="CW29" s="40" t="s">
        <v>231</v>
      </c>
      <c r="CX29" s="42">
        <v>1.6</v>
      </c>
      <c r="CY29" s="40" t="s">
        <v>231</v>
      </c>
      <c r="CZ29" s="42">
        <v>1.1000000000000001</v>
      </c>
      <c r="DA29" s="40" t="s">
        <v>231</v>
      </c>
      <c r="DB29" s="42">
        <v>1.3</v>
      </c>
      <c r="DC29" s="40" t="s">
        <v>231</v>
      </c>
      <c r="DD29" s="42">
        <v>1.6</v>
      </c>
      <c r="DE29" s="40" t="s">
        <v>231</v>
      </c>
      <c r="DF29" s="42">
        <v>1.4</v>
      </c>
      <c r="DG29" s="40" t="s">
        <v>231</v>
      </c>
      <c r="DH29" s="42">
        <v>1.1000000000000001</v>
      </c>
      <c r="DI29" s="40" t="s">
        <v>231</v>
      </c>
      <c r="DJ29" s="42">
        <v>1.3</v>
      </c>
      <c r="DK29" s="40" t="s">
        <v>231</v>
      </c>
      <c r="DL29" s="42">
        <v>1.6</v>
      </c>
      <c r="DM29" s="40" t="s">
        <v>231</v>
      </c>
      <c r="DN29" s="42">
        <v>1.4</v>
      </c>
      <c r="DO29" s="40" t="s">
        <v>231</v>
      </c>
      <c r="DP29" s="42">
        <v>0.9</v>
      </c>
      <c r="DQ29" s="40" t="s">
        <v>231</v>
      </c>
      <c r="DR29" s="42">
        <v>0.9</v>
      </c>
      <c r="DS29" s="40" t="s">
        <v>231</v>
      </c>
      <c r="DT29" s="42">
        <v>1.1000000000000001</v>
      </c>
      <c r="DU29" s="40" t="s">
        <v>231</v>
      </c>
      <c r="DV29" s="42">
        <v>1.6</v>
      </c>
      <c r="DW29" s="40" t="s">
        <v>231</v>
      </c>
      <c r="DX29" s="42">
        <v>0.5</v>
      </c>
      <c r="DY29" s="40" t="s">
        <v>231</v>
      </c>
      <c r="DZ29" s="42">
        <v>0.5</v>
      </c>
      <c r="EA29" s="40" t="s">
        <v>231</v>
      </c>
      <c r="EB29" s="42">
        <v>1</v>
      </c>
      <c r="EC29" s="40" t="s">
        <v>231</v>
      </c>
      <c r="ED29" s="42">
        <v>1.2</v>
      </c>
      <c r="EE29" s="137" t="s">
        <v>231</v>
      </c>
      <c r="EF29" s="126"/>
      <c r="EG29" s="46">
        <v>14</v>
      </c>
      <c r="EH29" s="26" t="str">
        <f>'Neocate® &amp; Pepticate™ DRI Calc'!$K43</f>
        <v>Vitamin C</v>
      </c>
      <c r="EI29" s="37">
        <v>115</v>
      </c>
      <c r="EJ29" s="1" t="s">
        <v>232</v>
      </c>
      <c r="EK29" s="1" t="s">
        <v>45</v>
      </c>
      <c r="EL29" s="1">
        <v>80</v>
      </c>
      <c r="EM29" s="1" t="s">
        <v>232</v>
      </c>
      <c r="EN29" s="1" t="s">
        <v>45</v>
      </c>
      <c r="EO29" s="1">
        <v>75</v>
      </c>
      <c r="EP29" s="1" t="s">
        <v>232</v>
      </c>
      <c r="EQ29" s="1" t="s">
        <v>45</v>
      </c>
      <c r="ER29" s="1">
        <v>90</v>
      </c>
      <c r="ES29" s="1" t="s">
        <v>232</v>
      </c>
      <c r="ET29" s="1" t="s">
        <v>45</v>
      </c>
      <c r="EU29" s="1">
        <v>40</v>
      </c>
      <c r="EV29" s="36" t="s">
        <v>231</v>
      </c>
      <c r="EW29" s="1" t="s">
        <v>45</v>
      </c>
      <c r="EX29" s="1">
        <v>40</v>
      </c>
      <c r="EY29" s="36" t="s">
        <v>231</v>
      </c>
      <c r="EZ29" s="1" t="s">
        <v>45</v>
      </c>
      <c r="FA29" s="1">
        <v>15</v>
      </c>
      <c r="FB29" s="1" t="s">
        <v>232</v>
      </c>
      <c r="FC29" s="1" t="s">
        <v>45</v>
      </c>
      <c r="FD29" s="1">
        <v>15</v>
      </c>
      <c r="FE29" s="1" t="s">
        <v>232</v>
      </c>
      <c r="FF29" s="1" t="s">
        <v>45</v>
      </c>
      <c r="FG29" s="1">
        <v>65</v>
      </c>
      <c r="FH29" s="1" t="s">
        <v>232</v>
      </c>
      <c r="FI29" s="1" t="s">
        <v>45</v>
      </c>
      <c r="FJ29" s="1">
        <v>75</v>
      </c>
      <c r="FK29" s="1" t="s">
        <v>232</v>
      </c>
      <c r="FL29" s="1" t="s">
        <v>45</v>
      </c>
      <c r="FM29" s="1">
        <v>75</v>
      </c>
      <c r="FN29" s="1" t="s">
        <v>232</v>
      </c>
      <c r="FO29" s="1" t="s">
        <v>45</v>
      </c>
      <c r="FP29" s="1">
        <v>120</v>
      </c>
      <c r="FQ29" s="1" t="s">
        <v>232</v>
      </c>
      <c r="FR29" s="1" t="s">
        <v>45</v>
      </c>
      <c r="FS29" s="1">
        <v>90</v>
      </c>
      <c r="FT29" s="1" t="s">
        <v>232</v>
      </c>
      <c r="FU29" s="1" t="s">
        <v>45</v>
      </c>
      <c r="FV29" s="1">
        <v>85</v>
      </c>
      <c r="FW29" s="1" t="s">
        <v>232</v>
      </c>
      <c r="FX29" s="1" t="s">
        <v>45</v>
      </c>
      <c r="FY29" s="1">
        <v>75</v>
      </c>
      <c r="FZ29" s="1" t="s">
        <v>232</v>
      </c>
      <c r="GA29" s="1" t="s">
        <v>45</v>
      </c>
      <c r="GB29" s="1">
        <v>120</v>
      </c>
      <c r="GC29" s="1" t="s">
        <v>232</v>
      </c>
      <c r="GD29" s="1" t="s">
        <v>45</v>
      </c>
      <c r="GE29" s="1">
        <v>90</v>
      </c>
      <c r="GF29" s="1" t="s">
        <v>232</v>
      </c>
      <c r="GG29" s="1" t="s">
        <v>45</v>
      </c>
      <c r="GH29" s="1">
        <v>85</v>
      </c>
      <c r="GI29" s="1" t="s">
        <v>232</v>
      </c>
      <c r="GJ29" s="1" t="s">
        <v>45</v>
      </c>
      <c r="GK29" s="1">
        <v>25</v>
      </c>
      <c r="GL29" s="1" t="s">
        <v>232</v>
      </c>
      <c r="GM29" s="1" t="s">
        <v>45</v>
      </c>
      <c r="GN29" s="1">
        <v>25</v>
      </c>
      <c r="GO29" s="1" t="s">
        <v>232</v>
      </c>
      <c r="GP29" s="1" t="s">
        <v>45</v>
      </c>
      <c r="GQ29" s="1">
        <v>75</v>
      </c>
      <c r="GR29" s="1" t="s">
        <v>232</v>
      </c>
      <c r="GS29" s="1" t="s">
        <v>45</v>
      </c>
      <c r="GT29" s="1">
        <v>90</v>
      </c>
      <c r="GU29" s="1" t="s">
        <v>232</v>
      </c>
      <c r="GV29" s="1" t="s">
        <v>45</v>
      </c>
      <c r="GW29" s="1">
        <v>50</v>
      </c>
      <c r="GX29" s="36" t="s">
        <v>231</v>
      </c>
      <c r="GY29" s="1" t="s">
        <v>45</v>
      </c>
      <c r="GZ29" s="1">
        <v>50</v>
      </c>
      <c r="HA29" s="36" t="s">
        <v>231</v>
      </c>
      <c r="HB29" s="1" t="s">
        <v>45</v>
      </c>
      <c r="HC29" s="1">
        <v>45</v>
      </c>
      <c r="HD29" s="1" t="s">
        <v>232</v>
      </c>
      <c r="HE29" s="1" t="s">
        <v>45</v>
      </c>
      <c r="HF29" s="1">
        <v>45</v>
      </c>
      <c r="HG29" s="1" t="s">
        <v>232</v>
      </c>
      <c r="HH29" s="43" t="s">
        <v>45</v>
      </c>
      <c r="HI29" s="1"/>
      <c r="HJ29" s="35">
        <v>11</v>
      </c>
      <c r="HK29" s="36" t="str">
        <f>'Neocate® &amp; Pepticate™ DRI Calc'!$K58</f>
        <v>Selenium</v>
      </c>
      <c r="HL29" s="37">
        <v>70</v>
      </c>
      <c r="HM29" s="1" t="s">
        <v>232</v>
      </c>
      <c r="HN29" s="1" t="s">
        <v>56</v>
      </c>
      <c r="HO29" s="1">
        <v>60</v>
      </c>
      <c r="HP29" s="1" t="s">
        <v>232</v>
      </c>
      <c r="HQ29" s="1" t="s">
        <v>56</v>
      </c>
      <c r="HR29" s="1">
        <v>55</v>
      </c>
      <c r="HS29" s="1" t="s">
        <v>232</v>
      </c>
      <c r="HT29" s="1" t="s">
        <v>56</v>
      </c>
      <c r="HU29" s="1">
        <v>55</v>
      </c>
      <c r="HV29" s="1" t="s">
        <v>232</v>
      </c>
      <c r="HW29" s="1" t="s">
        <v>56</v>
      </c>
      <c r="HX29" s="1">
        <v>15</v>
      </c>
      <c r="HY29" s="36" t="s">
        <v>231</v>
      </c>
      <c r="HZ29" s="1" t="s">
        <v>56</v>
      </c>
      <c r="IA29" s="1">
        <v>15</v>
      </c>
      <c r="IB29" s="36" t="s">
        <v>231</v>
      </c>
      <c r="IC29" s="1" t="s">
        <v>56</v>
      </c>
      <c r="ID29" s="1">
        <v>20</v>
      </c>
      <c r="IE29" s="1" t="s">
        <v>232</v>
      </c>
      <c r="IF29" s="1" t="s">
        <v>56</v>
      </c>
      <c r="IG29" s="1">
        <v>20</v>
      </c>
      <c r="IH29" s="1" t="s">
        <v>232</v>
      </c>
      <c r="II29" s="1" t="s">
        <v>56</v>
      </c>
      <c r="IJ29" s="1">
        <v>55</v>
      </c>
      <c r="IK29" s="1" t="s">
        <v>232</v>
      </c>
      <c r="IL29" s="1" t="s">
        <v>56</v>
      </c>
      <c r="IM29" s="1">
        <v>55</v>
      </c>
      <c r="IN29" s="1" t="s">
        <v>232</v>
      </c>
      <c r="IO29" s="1" t="s">
        <v>56</v>
      </c>
      <c r="IP29" s="1">
        <v>55</v>
      </c>
      <c r="IQ29" s="1" t="s">
        <v>232</v>
      </c>
      <c r="IR29" s="1" t="s">
        <v>56</v>
      </c>
      <c r="IS29" s="1">
        <v>70</v>
      </c>
      <c r="IT29" s="1" t="s">
        <v>232</v>
      </c>
      <c r="IU29" s="1" t="s">
        <v>56</v>
      </c>
      <c r="IV29" s="1">
        <v>55</v>
      </c>
      <c r="IW29" s="1" t="s">
        <v>232</v>
      </c>
      <c r="IX29" s="1" t="s">
        <v>56</v>
      </c>
      <c r="IY29" s="1">
        <v>60</v>
      </c>
      <c r="IZ29" s="1" t="s">
        <v>232</v>
      </c>
      <c r="JA29" s="1" t="s">
        <v>56</v>
      </c>
      <c r="JB29" s="1">
        <v>55</v>
      </c>
      <c r="JC29" s="1" t="s">
        <v>232</v>
      </c>
      <c r="JD29" s="1" t="s">
        <v>56</v>
      </c>
      <c r="JE29" s="1">
        <v>70</v>
      </c>
      <c r="JF29" s="1" t="s">
        <v>232</v>
      </c>
      <c r="JG29" s="1" t="s">
        <v>56</v>
      </c>
      <c r="JH29" s="1">
        <v>55</v>
      </c>
      <c r="JI29" s="1" t="s">
        <v>232</v>
      </c>
      <c r="JJ29" s="1" t="s">
        <v>56</v>
      </c>
      <c r="JK29" s="1">
        <v>60</v>
      </c>
      <c r="JL29" s="1" t="s">
        <v>232</v>
      </c>
      <c r="JM29" s="1" t="s">
        <v>56</v>
      </c>
      <c r="JN29" s="1">
        <v>30</v>
      </c>
      <c r="JO29" s="1" t="s">
        <v>232</v>
      </c>
      <c r="JP29" s="1" t="s">
        <v>56</v>
      </c>
      <c r="JQ29" s="1">
        <v>30</v>
      </c>
      <c r="JR29" s="1" t="s">
        <v>232</v>
      </c>
      <c r="JS29" s="1" t="s">
        <v>56</v>
      </c>
      <c r="JT29" s="1">
        <v>55</v>
      </c>
      <c r="JU29" s="1" t="s">
        <v>232</v>
      </c>
      <c r="JV29" s="1" t="s">
        <v>56</v>
      </c>
      <c r="JW29" s="1">
        <v>55</v>
      </c>
      <c r="JX29" s="1" t="s">
        <v>232</v>
      </c>
      <c r="JY29" s="1" t="s">
        <v>56</v>
      </c>
      <c r="JZ29" s="1">
        <v>20</v>
      </c>
      <c r="KA29" s="36" t="s">
        <v>231</v>
      </c>
      <c r="KB29" s="1" t="s">
        <v>56</v>
      </c>
      <c r="KC29" s="1">
        <v>20</v>
      </c>
      <c r="KD29" s="36" t="s">
        <v>231</v>
      </c>
      <c r="KE29" s="1" t="s">
        <v>56</v>
      </c>
      <c r="KF29" s="1">
        <v>40</v>
      </c>
      <c r="KG29" s="1" t="s">
        <v>232</v>
      </c>
      <c r="KH29" s="1" t="s">
        <v>56</v>
      </c>
      <c r="KI29" s="1">
        <v>40</v>
      </c>
      <c r="KJ29" s="1" t="s">
        <v>232</v>
      </c>
      <c r="KK29" s="43" t="s">
        <v>56</v>
      </c>
      <c r="KL29" s="1"/>
      <c r="KM29" s="93"/>
      <c r="KN29" s="76"/>
      <c r="KO29" s="76"/>
    </row>
    <row r="30" spans="1:301" ht="21">
      <c r="A30" s="92"/>
      <c r="B30" s="92"/>
      <c r="C30" s="92"/>
      <c r="D30" s="80"/>
      <c r="E30" s="80"/>
      <c r="F30" s="80"/>
      <c r="G30" s="80"/>
      <c r="H30" s="80"/>
      <c r="I30" s="80"/>
      <c r="J30" s="80"/>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4"/>
      <c r="BN30" s="74"/>
      <c r="BO30" s="74"/>
      <c r="BP30" s="74"/>
      <c r="BQ30" s="74"/>
      <c r="BR30" s="74"/>
      <c r="BS30" s="74"/>
      <c r="BT30" s="74"/>
      <c r="BU30" s="74"/>
      <c r="BV30" s="74"/>
      <c r="BW30" s="74"/>
      <c r="BX30" s="74"/>
      <c r="BY30" s="74"/>
      <c r="BZ30" s="74"/>
      <c r="CA30" s="74"/>
      <c r="CB30" s="116"/>
      <c r="CC30" s="124" t="s">
        <v>247</v>
      </c>
      <c r="EG30" s="46">
        <v>2</v>
      </c>
      <c r="EH30" s="26" t="str">
        <f>'Neocate® &amp; Pepticate™ DRI Calc'!$K31</f>
        <v>Vitamin D</v>
      </c>
      <c r="EI30" s="37">
        <v>15</v>
      </c>
      <c r="EJ30" s="1" t="s">
        <v>232</v>
      </c>
      <c r="EK30" s="1" t="s">
        <v>56</v>
      </c>
      <c r="EL30" s="1">
        <v>15</v>
      </c>
      <c r="EM30" s="1" t="s">
        <v>232</v>
      </c>
      <c r="EN30" s="1" t="s">
        <v>56</v>
      </c>
      <c r="EO30" s="1">
        <v>20</v>
      </c>
      <c r="EP30" s="1" t="s">
        <v>232</v>
      </c>
      <c r="EQ30" s="1" t="s">
        <v>56</v>
      </c>
      <c r="ER30" s="1">
        <v>20</v>
      </c>
      <c r="ES30" s="1" t="s">
        <v>232</v>
      </c>
      <c r="ET30" s="1" t="s">
        <v>56</v>
      </c>
      <c r="EU30" s="1">
        <v>10</v>
      </c>
      <c r="EV30" s="36" t="s">
        <v>231</v>
      </c>
      <c r="EW30" s="1" t="s">
        <v>56</v>
      </c>
      <c r="EX30" s="1">
        <v>10</v>
      </c>
      <c r="EY30" s="36" t="s">
        <v>231</v>
      </c>
      <c r="EZ30" s="1" t="s">
        <v>56</v>
      </c>
      <c r="FA30" s="1">
        <v>15</v>
      </c>
      <c r="FB30" s="1" t="s">
        <v>232</v>
      </c>
      <c r="FC30" s="1" t="s">
        <v>56</v>
      </c>
      <c r="FD30" s="1">
        <v>15</v>
      </c>
      <c r="FE30" s="1" t="s">
        <v>232</v>
      </c>
      <c r="FF30" s="1" t="s">
        <v>56</v>
      </c>
      <c r="FG30" s="1">
        <v>15</v>
      </c>
      <c r="FH30" s="1" t="s">
        <v>232</v>
      </c>
      <c r="FI30" s="1" t="s">
        <v>56</v>
      </c>
      <c r="FJ30" s="1">
        <v>15</v>
      </c>
      <c r="FK30" s="1" t="s">
        <v>232</v>
      </c>
      <c r="FL30" s="1" t="s">
        <v>56</v>
      </c>
      <c r="FM30" s="1">
        <v>15</v>
      </c>
      <c r="FN30" s="1" t="s">
        <v>232</v>
      </c>
      <c r="FO30" s="1" t="s">
        <v>56</v>
      </c>
      <c r="FP30" s="1">
        <v>15</v>
      </c>
      <c r="FQ30" s="1" t="s">
        <v>232</v>
      </c>
      <c r="FR30" s="1" t="s">
        <v>56</v>
      </c>
      <c r="FS30" s="1">
        <v>15</v>
      </c>
      <c r="FT30" s="1" t="s">
        <v>232</v>
      </c>
      <c r="FU30" s="1" t="s">
        <v>56</v>
      </c>
      <c r="FV30" s="1">
        <v>15</v>
      </c>
      <c r="FW30" s="1" t="s">
        <v>232</v>
      </c>
      <c r="FX30" s="1" t="s">
        <v>56</v>
      </c>
      <c r="FY30" s="1">
        <v>15</v>
      </c>
      <c r="FZ30" s="1" t="s">
        <v>232</v>
      </c>
      <c r="GA30" s="1" t="s">
        <v>56</v>
      </c>
      <c r="GB30" s="1">
        <v>15</v>
      </c>
      <c r="GC30" s="1" t="s">
        <v>232</v>
      </c>
      <c r="GD30" s="1" t="s">
        <v>56</v>
      </c>
      <c r="GE30" s="1">
        <v>15</v>
      </c>
      <c r="GF30" s="1" t="s">
        <v>232</v>
      </c>
      <c r="GG30" s="1" t="s">
        <v>56</v>
      </c>
      <c r="GH30" s="1">
        <v>15</v>
      </c>
      <c r="GI30" s="1" t="s">
        <v>232</v>
      </c>
      <c r="GJ30" s="1" t="s">
        <v>56</v>
      </c>
      <c r="GK30" s="1">
        <v>15</v>
      </c>
      <c r="GL30" s="1" t="s">
        <v>232</v>
      </c>
      <c r="GM30" s="1" t="s">
        <v>56</v>
      </c>
      <c r="GN30" s="1">
        <v>15</v>
      </c>
      <c r="GO30" s="1" t="s">
        <v>232</v>
      </c>
      <c r="GP30" s="1" t="s">
        <v>56</v>
      </c>
      <c r="GQ30" s="1">
        <v>15</v>
      </c>
      <c r="GR30" s="1" t="s">
        <v>232</v>
      </c>
      <c r="GS30" s="1" t="s">
        <v>56</v>
      </c>
      <c r="GT30" s="1">
        <v>15</v>
      </c>
      <c r="GU30" s="1" t="s">
        <v>232</v>
      </c>
      <c r="GV30" s="1" t="s">
        <v>56</v>
      </c>
      <c r="GW30" s="1">
        <v>10</v>
      </c>
      <c r="GX30" s="36" t="s">
        <v>231</v>
      </c>
      <c r="GY30" s="1" t="s">
        <v>56</v>
      </c>
      <c r="GZ30" s="1">
        <v>10</v>
      </c>
      <c r="HA30" s="36" t="s">
        <v>231</v>
      </c>
      <c r="HB30" s="1" t="s">
        <v>56</v>
      </c>
      <c r="HC30" s="1">
        <v>15</v>
      </c>
      <c r="HD30" s="1" t="s">
        <v>232</v>
      </c>
      <c r="HE30" s="1" t="s">
        <v>56</v>
      </c>
      <c r="HF30" s="1">
        <v>15</v>
      </c>
      <c r="HG30" s="1" t="s">
        <v>232</v>
      </c>
      <c r="HH30" s="43" t="s">
        <v>56</v>
      </c>
      <c r="HI30" s="1"/>
      <c r="HJ30" s="35">
        <v>12</v>
      </c>
      <c r="HK30" s="36" t="str">
        <f>'Neocate® &amp; Pepticate™ DRI Calc'!$K59</f>
        <v>Sodium</v>
      </c>
      <c r="HL30" s="37">
        <v>1500</v>
      </c>
      <c r="HM30" s="1" t="s">
        <v>231</v>
      </c>
      <c r="HN30" s="1" t="s">
        <v>45</v>
      </c>
      <c r="HO30" s="1">
        <v>1500</v>
      </c>
      <c r="HP30" s="1" t="s">
        <v>231</v>
      </c>
      <c r="HQ30" s="1" t="s">
        <v>45</v>
      </c>
      <c r="HR30" s="1">
        <v>1500</v>
      </c>
      <c r="HS30" s="1" t="s">
        <v>231</v>
      </c>
      <c r="HT30" s="1" t="s">
        <v>45</v>
      </c>
      <c r="HU30" s="1">
        <v>1500</v>
      </c>
      <c r="HV30" s="1" t="s">
        <v>231</v>
      </c>
      <c r="HW30" s="1" t="s">
        <v>45</v>
      </c>
      <c r="HX30" s="1">
        <v>110</v>
      </c>
      <c r="HY30" s="36" t="s">
        <v>231</v>
      </c>
      <c r="HZ30" s="1" t="s">
        <v>45</v>
      </c>
      <c r="IA30" s="1">
        <v>110</v>
      </c>
      <c r="IB30" s="36" t="s">
        <v>231</v>
      </c>
      <c r="IC30" s="1" t="s">
        <v>45</v>
      </c>
      <c r="ID30" s="1">
        <v>800</v>
      </c>
      <c r="IE30" s="1" t="s">
        <v>231</v>
      </c>
      <c r="IF30" s="1" t="s">
        <v>45</v>
      </c>
      <c r="IG30" s="1">
        <v>800</v>
      </c>
      <c r="IH30" s="1" t="s">
        <v>231</v>
      </c>
      <c r="II30" s="1" t="s">
        <v>45</v>
      </c>
      <c r="IJ30" s="1">
        <v>1500</v>
      </c>
      <c r="IK30" s="1" t="s">
        <v>231</v>
      </c>
      <c r="IL30" s="1" t="s">
        <v>45</v>
      </c>
      <c r="IM30" s="1">
        <v>1500</v>
      </c>
      <c r="IN30" s="1" t="s">
        <v>231</v>
      </c>
      <c r="IO30" s="1" t="s">
        <v>45</v>
      </c>
      <c r="IP30" s="1">
        <v>1500</v>
      </c>
      <c r="IQ30" s="1" t="s">
        <v>231</v>
      </c>
      <c r="IR30" s="1" t="s">
        <v>45</v>
      </c>
      <c r="IS30" s="1">
        <v>1500</v>
      </c>
      <c r="IT30" s="1" t="s">
        <v>231</v>
      </c>
      <c r="IU30" s="1" t="s">
        <v>45</v>
      </c>
      <c r="IV30" s="1">
        <v>1500</v>
      </c>
      <c r="IW30" s="1" t="s">
        <v>231</v>
      </c>
      <c r="IX30" s="1" t="s">
        <v>45</v>
      </c>
      <c r="IY30" s="1">
        <v>1500</v>
      </c>
      <c r="IZ30" s="1" t="s">
        <v>231</v>
      </c>
      <c r="JA30" s="1" t="s">
        <v>45</v>
      </c>
      <c r="JB30" s="1">
        <v>1500</v>
      </c>
      <c r="JC30" s="1" t="s">
        <v>231</v>
      </c>
      <c r="JD30" s="1" t="s">
        <v>45</v>
      </c>
      <c r="JE30" s="1">
        <v>1500</v>
      </c>
      <c r="JF30" s="1" t="s">
        <v>231</v>
      </c>
      <c r="JG30" s="1" t="s">
        <v>45</v>
      </c>
      <c r="JH30" s="1">
        <v>1500</v>
      </c>
      <c r="JI30" s="1" t="s">
        <v>231</v>
      </c>
      <c r="JJ30" s="1" t="s">
        <v>45</v>
      </c>
      <c r="JK30" s="1">
        <v>1500</v>
      </c>
      <c r="JL30" s="1" t="s">
        <v>231</v>
      </c>
      <c r="JM30" s="1" t="s">
        <v>45</v>
      </c>
      <c r="JN30" s="1">
        <v>1000</v>
      </c>
      <c r="JO30" s="1" t="s">
        <v>231</v>
      </c>
      <c r="JP30" s="1" t="s">
        <v>45</v>
      </c>
      <c r="JQ30" s="1">
        <v>1000</v>
      </c>
      <c r="JR30" s="1" t="s">
        <v>231</v>
      </c>
      <c r="JS30" s="1" t="s">
        <v>45</v>
      </c>
      <c r="JT30" s="1">
        <v>1500</v>
      </c>
      <c r="JU30" s="1" t="s">
        <v>231</v>
      </c>
      <c r="JV30" s="1" t="s">
        <v>45</v>
      </c>
      <c r="JW30" s="1">
        <v>1500</v>
      </c>
      <c r="JX30" s="1" t="s">
        <v>231</v>
      </c>
      <c r="JY30" s="1" t="s">
        <v>45</v>
      </c>
      <c r="JZ30" s="1">
        <v>370</v>
      </c>
      <c r="KA30" s="36" t="s">
        <v>231</v>
      </c>
      <c r="KB30" s="1" t="s">
        <v>45</v>
      </c>
      <c r="KC30" s="1">
        <v>370</v>
      </c>
      <c r="KD30" s="36" t="s">
        <v>231</v>
      </c>
      <c r="KE30" s="1" t="s">
        <v>45</v>
      </c>
      <c r="KF30" s="1">
        <v>1200</v>
      </c>
      <c r="KG30" s="1" t="s">
        <v>231</v>
      </c>
      <c r="KH30" s="1" t="s">
        <v>45</v>
      </c>
      <c r="KI30" s="1">
        <v>1200</v>
      </c>
      <c r="KJ30" s="1" t="s">
        <v>231</v>
      </c>
      <c r="KK30" s="43" t="s">
        <v>45</v>
      </c>
      <c r="KL30" s="1"/>
      <c r="KM30" s="93"/>
      <c r="KN30" s="76"/>
      <c r="KO30" s="76"/>
    </row>
    <row r="31" spans="1:301" ht="21">
      <c r="A31" s="92"/>
      <c r="B31" s="92"/>
      <c r="C31" s="92"/>
      <c r="D31" s="80"/>
      <c r="E31" s="80"/>
      <c r="F31" s="80"/>
      <c r="G31" s="80"/>
      <c r="H31" s="80"/>
      <c r="I31" s="80"/>
      <c r="J31" s="80"/>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4"/>
      <c r="BN31" s="74"/>
      <c r="BO31" s="74"/>
      <c r="BP31" s="74"/>
      <c r="BQ31" s="74"/>
      <c r="BR31" s="74"/>
      <c r="BS31" s="74"/>
      <c r="BT31" s="74"/>
      <c r="BU31" s="74"/>
      <c r="BV31" s="74"/>
      <c r="BW31" s="74"/>
      <c r="BX31" s="74"/>
      <c r="BY31" s="74"/>
      <c r="BZ31" s="74"/>
      <c r="CA31" s="74"/>
      <c r="CB31" s="116"/>
      <c r="CC31" s="124" t="s">
        <v>248</v>
      </c>
      <c r="EG31" s="46">
        <v>3</v>
      </c>
      <c r="EH31" s="26" t="str">
        <f>'Neocate® &amp; Pepticate™ DRI Calc'!$L31</f>
        <v>Vitamin D N/A-IU  .</v>
      </c>
      <c r="EI31" s="37">
        <v>600</v>
      </c>
      <c r="EJ31" s="1" t="s">
        <v>232</v>
      </c>
      <c r="EK31" s="1" t="s">
        <v>60</v>
      </c>
      <c r="EL31" s="1">
        <v>600</v>
      </c>
      <c r="EM31" s="1" t="s">
        <v>232</v>
      </c>
      <c r="EN31" s="1" t="s">
        <v>60</v>
      </c>
      <c r="EO31" s="1">
        <v>800</v>
      </c>
      <c r="EP31" s="1" t="s">
        <v>232</v>
      </c>
      <c r="EQ31" s="1" t="s">
        <v>60</v>
      </c>
      <c r="ER31" s="1">
        <v>800</v>
      </c>
      <c r="ES31" s="1" t="s">
        <v>232</v>
      </c>
      <c r="ET31" s="1" t="s">
        <v>60</v>
      </c>
      <c r="EU31" s="1">
        <v>400</v>
      </c>
      <c r="EV31" s="36" t="s">
        <v>231</v>
      </c>
      <c r="EW31" s="1" t="s">
        <v>60</v>
      </c>
      <c r="EX31" s="1">
        <v>400</v>
      </c>
      <c r="EY31" s="36" t="s">
        <v>231</v>
      </c>
      <c r="EZ31" s="1" t="s">
        <v>60</v>
      </c>
      <c r="FA31" s="1">
        <v>600</v>
      </c>
      <c r="FB31" s="1" t="s">
        <v>232</v>
      </c>
      <c r="FC31" s="1" t="s">
        <v>60</v>
      </c>
      <c r="FD31" s="1">
        <v>600</v>
      </c>
      <c r="FE31" s="1" t="s">
        <v>232</v>
      </c>
      <c r="FF31" s="1" t="s">
        <v>60</v>
      </c>
      <c r="FG31" s="1">
        <v>600</v>
      </c>
      <c r="FH31" s="1" t="s">
        <v>232</v>
      </c>
      <c r="FI31" s="1" t="s">
        <v>60</v>
      </c>
      <c r="FJ31" s="1">
        <v>600</v>
      </c>
      <c r="FK31" s="1" t="s">
        <v>232</v>
      </c>
      <c r="FL31" s="1" t="s">
        <v>60</v>
      </c>
      <c r="FM31" s="1">
        <v>600</v>
      </c>
      <c r="FN31" s="1" t="s">
        <v>232</v>
      </c>
      <c r="FO31" s="1" t="s">
        <v>60</v>
      </c>
      <c r="FP31" s="1">
        <v>600</v>
      </c>
      <c r="FQ31" s="1" t="s">
        <v>232</v>
      </c>
      <c r="FR31" s="1" t="s">
        <v>60</v>
      </c>
      <c r="FS31" s="1">
        <v>600</v>
      </c>
      <c r="FT31" s="1" t="s">
        <v>232</v>
      </c>
      <c r="FU31" s="1" t="s">
        <v>60</v>
      </c>
      <c r="FV31" s="1">
        <v>600</v>
      </c>
      <c r="FW31" s="1" t="s">
        <v>232</v>
      </c>
      <c r="FX31" s="1" t="s">
        <v>60</v>
      </c>
      <c r="FY31" s="1">
        <v>600</v>
      </c>
      <c r="FZ31" s="1" t="s">
        <v>232</v>
      </c>
      <c r="GA31" s="1" t="s">
        <v>60</v>
      </c>
      <c r="GB31" s="1">
        <v>600</v>
      </c>
      <c r="GC31" s="1" t="s">
        <v>232</v>
      </c>
      <c r="GD31" s="1" t="s">
        <v>60</v>
      </c>
      <c r="GE31" s="1">
        <v>600</v>
      </c>
      <c r="GF31" s="1" t="s">
        <v>232</v>
      </c>
      <c r="GG31" s="1" t="s">
        <v>60</v>
      </c>
      <c r="GH31" s="1">
        <v>600</v>
      </c>
      <c r="GI31" s="1" t="s">
        <v>232</v>
      </c>
      <c r="GJ31" s="1" t="s">
        <v>60</v>
      </c>
      <c r="GK31" s="1">
        <v>600</v>
      </c>
      <c r="GL31" s="1" t="s">
        <v>232</v>
      </c>
      <c r="GM31" s="1" t="s">
        <v>60</v>
      </c>
      <c r="GN31" s="1">
        <v>600</v>
      </c>
      <c r="GO31" s="1" t="s">
        <v>232</v>
      </c>
      <c r="GP31" s="1" t="s">
        <v>60</v>
      </c>
      <c r="GQ31" s="1">
        <v>600</v>
      </c>
      <c r="GR31" s="1" t="s">
        <v>232</v>
      </c>
      <c r="GS31" s="1" t="s">
        <v>60</v>
      </c>
      <c r="GT31" s="1">
        <v>600</v>
      </c>
      <c r="GU31" s="1" t="s">
        <v>232</v>
      </c>
      <c r="GV31" s="1" t="s">
        <v>60</v>
      </c>
      <c r="GW31" s="1">
        <v>400</v>
      </c>
      <c r="GX31" s="36" t="s">
        <v>231</v>
      </c>
      <c r="GY31" s="1" t="s">
        <v>60</v>
      </c>
      <c r="GZ31" s="1">
        <v>400</v>
      </c>
      <c r="HA31" s="36" t="s">
        <v>231</v>
      </c>
      <c r="HB31" s="1" t="s">
        <v>60</v>
      </c>
      <c r="HC31" s="1">
        <v>600</v>
      </c>
      <c r="HD31" s="1" t="s">
        <v>232</v>
      </c>
      <c r="HE31" s="1" t="s">
        <v>60</v>
      </c>
      <c r="HF31" s="1">
        <v>600</v>
      </c>
      <c r="HG31" s="1" t="s">
        <v>232</v>
      </c>
      <c r="HH31" s="43" t="s">
        <v>60</v>
      </c>
      <c r="HI31" s="1"/>
      <c r="HJ31" s="39">
        <v>5</v>
      </c>
      <c r="HK31" s="40" t="str">
        <f>'Neocate® &amp; Pepticate™ DRI Calc'!$K52</f>
        <v>Zinc</v>
      </c>
      <c r="HL31" s="41">
        <v>14</v>
      </c>
      <c r="HM31" s="42" t="s">
        <v>232</v>
      </c>
      <c r="HN31" s="42" t="s">
        <v>45</v>
      </c>
      <c r="HO31" s="42">
        <v>12</v>
      </c>
      <c r="HP31" s="42" t="s">
        <v>232</v>
      </c>
      <c r="HQ31" s="42" t="s">
        <v>45</v>
      </c>
      <c r="HR31" s="42">
        <v>8</v>
      </c>
      <c r="HS31" s="42" t="s">
        <v>232</v>
      </c>
      <c r="HT31" s="42" t="s">
        <v>45</v>
      </c>
      <c r="HU31" s="42">
        <v>11</v>
      </c>
      <c r="HV31" s="42" t="s">
        <v>232</v>
      </c>
      <c r="HW31" s="42" t="s">
        <v>45</v>
      </c>
      <c r="HX31" s="42">
        <v>2</v>
      </c>
      <c r="HY31" s="40" t="s">
        <v>231</v>
      </c>
      <c r="HZ31" s="42" t="s">
        <v>45</v>
      </c>
      <c r="IA31" s="42">
        <v>2</v>
      </c>
      <c r="IB31" s="40" t="s">
        <v>231</v>
      </c>
      <c r="IC31" s="42" t="s">
        <v>45</v>
      </c>
      <c r="ID31" s="42">
        <v>3</v>
      </c>
      <c r="IE31" s="42" t="s">
        <v>232</v>
      </c>
      <c r="IF31" s="42" t="s">
        <v>45</v>
      </c>
      <c r="IG31" s="42">
        <v>3</v>
      </c>
      <c r="IH31" s="42" t="s">
        <v>232</v>
      </c>
      <c r="II31" s="42" t="s">
        <v>45</v>
      </c>
      <c r="IJ31" s="42">
        <v>9</v>
      </c>
      <c r="IK31" s="42" t="s">
        <v>232</v>
      </c>
      <c r="IL31" s="42" t="s">
        <v>45</v>
      </c>
      <c r="IM31" s="42">
        <v>11</v>
      </c>
      <c r="IN31" s="42" t="s">
        <v>232</v>
      </c>
      <c r="IO31" s="42" t="s">
        <v>45</v>
      </c>
      <c r="IP31" s="42">
        <v>8</v>
      </c>
      <c r="IQ31" s="42" t="s">
        <v>232</v>
      </c>
      <c r="IR31" s="42" t="s">
        <v>45</v>
      </c>
      <c r="IS31" s="42">
        <v>12</v>
      </c>
      <c r="IT31" s="42" t="s">
        <v>232</v>
      </c>
      <c r="IU31" s="42" t="s">
        <v>45</v>
      </c>
      <c r="IV31" s="42">
        <v>11</v>
      </c>
      <c r="IW31" s="42" t="s">
        <v>232</v>
      </c>
      <c r="IX31" s="42" t="s">
        <v>45</v>
      </c>
      <c r="IY31" s="42">
        <v>11</v>
      </c>
      <c r="IZ31" s="42" t="s">
        <v>232</v>
      </c>
      <c r="JA31" s="42" t="s">
        <v>45</v>
      </c>
      <c r="JB31" s="42">
        <v>8</v>
      </c>
      <c r="JC31" s="42" t="s">
        <v>232</v>
      </c>
      <c r="JD31" s="42" t="s">
        <v>45</v>
      </c>
      <c r="JE31" s="42">
        <v>12</v>
      </c>
      <c r="JF31" s="42" t="s">
        <v>232</v>
      </c>
      <c r="JG31" s="42" t="s">
        <v>45</v>
      </c>
      <c r="JH31" s="42">
        <v>11</v>
      </c>
      <c r="JI31" s="42" t="s">
        <v>232</v>
      </c>
      <c r="JJ31" s="42" t="s">
        <v>45</v>
      </c>
      <c r="JK31" s="42">
        <v>11</v>
      </c>
      <c r="JL31" s="42" t="s">
        <v>232</v>
      </c>
      <c r="JM31" s="42" t="s">
        <v>45</v>
      </c>
      <c r="JN31" s="42">
        <v>5</v>
      </c>
      <c r="JO31" s="42" t="s">
        <v>232</v>
      </c>
      <c r="JP31" s="42" t="s">
        <v>45</v>
      </c>
      <c r="JQ31" s="42">
        <v>5</v>
      </c>
      <c r="JR31" s="42" t="s">
        <v>232</v>
      </c>
      <c r="JS31" s="42" t="s">
        <v>45</v>
      </c>
      <c r="JT31" s="42">
        <v>8</v>
      </c>
      <c r="JU31" s="42" t="s">
        <v>232</v>
      </c>
      <c r="JV31" s="42" t="s">
        <v>45</v>
      </c>
      <c r="JW31" s="42">
        <v>11</v>
      </c>
      <c r="JX31" s="42" t="s">
        <v>232</v>
      </c>
      <c r="JY31" s="42" t="s">
        <v>45</v>
      </c>
      <c r="JZ31" s="42">
        <v>3</v>
      </c>
      <c r="KA31" s="40" t="s">
        <v>231</v>
      </c>
      <c r="KB31" s="42" t="s">
        <v>45</v>
      </c>
      <c r="KC31" s="42">
        <v>3</v>
      </c>
      <c r="KD31" s="40" t="s">
        <v>231</v>
      </c>
      <c r="KE31" s="42" t="s">
        <v>45</v>
      </c>
      <c r="KF31" s="42">
        <v>8</v>
      </c>
      <c r="KG31" s="42" t="s">
        <v>232</v>
      </c>
      <c r="KH31" s="42" t="s">
        <v>45</v>
      </c>
      <c r="KI31" s="42">
        <v>8</v>
      </c>
      <c r="KJ31" s="42" t="s">
        <v>232</v>
      </c>
      <c r="KK31" s="49" t="s">
        <v>45</v>
      </c>
      <c r="KL31" s="1"/>
      <c r="KM31" s="93"/>
      <c r="KN31" s="76"/>
      <c r="KO31" s="76"/>
    </row>
    <row r="32" spans="1:301" ht="21">
      <c r="A32" s="92"/>
      <c r="B32" s="92"/>
      <c r="C32" s="92"/>
      <c r="D32" s="80"/>
      <c r="E32" s="80"/>
      <c r="F32" s="80"/>
      <c r="G32" s="80"/>
      <c r="H32" s="80"/>
      <c r="I32" s="80"/>
      <c r="J32" s="80"/>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4"/>
      <c r="BN32" s="74"/>
      <c r="BO32" s="74"/>
      <c r="BP32" s="74"/>
      <c r="BQ32" s="74"/>
      <c r="BR32" s="74"/>
      <c r="BS32" s="74"/>
      <c r="BT32" s="74"/>
      <c r="BU32" s="74"/>
      <c r="BV32" s="74"/>
      <c r="BW32" s="74"/>
      <c r="BX32" s="74"/>
      <c r="BY32" s="74"/>
      <c r="BZ32" s="74"/>
      <c r="CA32" s="74"/>
      <c r="CB32" s="116"/>
      <c r="CC32" s="124" t="s">
        <v>249</v>
      </c>
      <c r="EG32" s="46">
        <v>4</v>
      </c>
      <c r="EH32" s="26" t="str">
        <f>'Neocate® &amp; Pepticate™ DRI Calc'!$K33</f>
        <v>Vitamin E</v>
      </c>
      <c r="EI32" s="37">
        <v>19</v>
      </c>
      <c r="EJ32" s="1" t="s">
        <v>232</v>
      </c>
      <c r="EK32" s="1" t="s">
        <v>45</v>
      </c>
      <c r="EL32" s="1">
        <v>15</v>
      </c>
      <c r="EM32" s="1" t="s">
        <v>232</v>
      </c>
      <c r="EN32" s="1" t="s">
        <v>45</v>
      </c>
      <c r="EO32" s="1">
        <v>15</v>
      </c>
      <c r="EP32" s="1" t="s">
        <v>232</v>
      </c>
      <c r="EQ32" s="1" t="s">
        <v>45</v>
      </c>
      <c r="ER32" s="1">
        <v>15</v>
      </c>
      <c r="ES32" s="1" t="s">
        <v>232</v>
      </c>
      <c r="ET32" s="1" t="s">
        <v>45</v>
      </c>
      <c r="EU32" s="1">
        <v>4</v>
      </c>
      <c r="EV32" s="36" t="s">
        <v>231</v>
      </c>
      <c r="EW32" s="1" t="s">
        <v>45</v>
      </c>
      <c r="EX32" s="1">
        <v>4</v>
      </c>
      <c r="EY32" s="36" t="s">
        <v>231</v>
      </c>
      <c r="EZ32" s="1" t="s">
        <v>45</v>
      </c>
      <c r="FA32" s="1">
        <v>6</v>
      </c>
      <c r="FB32" s="1" t="s">
        <v>232</v>
      </c>
      <c r="FC32" s="1" t="s">
        <v>45</v>
      </c>
      <c r="FD32" s="1">
        <v>6</v>
      </c>
      <c r="FE32" s="1" t="s">
        <v>232</v>
      </c>
      <c r="FF32" s="1" t="s">
        <v>45</v>
      </c>
      <c r="FG32" s="1">
        <v>15</v>
      </c>
      <c r="FH32" s="1" t="s">
        <v>232</v>
      </c>
      <c r="FI32" s="1" t="s">
        <v>45</v>
      </c>
      <c r="FJ32" s="1">
        <v>15</v>
      </c>
      <c r="FK32" s="1" t="s">
        <v>232</v>
      </c>
      <c r="FL32" s="1" t="s">
        <v>45</v>
      </c>
      <c r="FM32" s="1">
        <v>15</v>
      </c>
      <c r="FN32" s="1" t="s">
        <v>232</v>
      </c>
      <c r="FO32" s="1" t="s">
        <v>45</v>
      </c>
      <c r="FP32" s="1">
        <v>19</v>
      </c>
      <c r="FQ32" s="1" t="s">
        <v>232</v>
      </c>
      <c r="FR32" s="1" t="s">
        <v>45</v>
      </c>
      <c r="FS32" s="1">
        <v>15</v>
      </c>
      <c r="FT32" s="1" t="s">
        <v>232</v>
      </c>
      <c r="FU32" s="1" t="s">
        <v>45</v>
      </c>
      <c r="FV32" s="1">
        <v>15</v>
      </c>
      <c r="FW32" s="1" t="s">
        <v>232</v>
      </c>
      <c r="FX32" s="1" t="s">
        <v>45</v>
      </c>
      <c r="FY32" s="1">
        <v>15</v>
      </c>
      <c r="FZ32" s="1" t="s">
        <v>232</v>
      </c>
      <c r="GA32" s="1" t="s">
        <v>45</v>
      </c>
      <c r="GB32" s="1">
        <v>19</v>
      </c>
      <c r="GC32" s="1" t="s">
        <v>232</v>
      </c>
      <c r="GD32" s="1" t="s">
        <v>45</v>
      </c>
      <c r="GE32" s="1">
        <v>15</v>
      </c>
      <c r="GF32" s="1" t="s">
        <v>232</v>
      </c>
      <c r="GG32" s="1" t="s">
        <v>45</v>
      </c>
      <c r="GH32" s="1">
        <v>15</v>
      </c>
      <c r="GI32" s="1" t="s">
        <v>232</v>
      </c>
      <c r="GJ32" s="1" t="s">
        <v>45</v>
      </c>
      <c r="GK32" s="1">
        <v>7</v>
      </c>
      <c r="GL32" s="1" t="s">
        <v>232</v>
      </c>
      <c r="GM32" s="1" t="s">
        <v>45</v>
      </c>
      <c r="GN32" s="1">
        <v>7</v>
      </c>
      <c r="GO32" s="1" t="s">
        <v>232</v>
      </c>
      <c r="GP32" s="1" t="s">
        <v>45</v>
      </c>
      <c r="GQ32" s="1">
        <v>15</v>
      </c>
      <c r="GR32" s="1" t="s">
        <v>232</v>
      </c>
      <c r="GS32" s="1" t="s">
        <v>45</v>
      </c>
      <c r="GT32" s="1">
        <v>15</v>
      </c>
      <c r="GU32" s="1" t="s">
        <v>232</v>
      </c>
      <c r="GV32" s="1" t="s">
        <v>45</v>
      </c>
      <c r="GW32" s="1">
        <v>5</v>
      </c>
      <c r="GX32" s="36" t="s">
        <v>231</v>
      </c>
      <c r="GY32" s="1" t="s">
        <v>45</v>
      </c>
      <c r="GZ32" s="1">
        <v>5</v>
      </c>
      <c r="HA32" s="36" t="s">
        <v>231</v>
      </c>
      <c r="HB32" s="1" t="s">
        <v>45</v>
      </c>
      <c r="HC32" s="1">
        <v>11</v>
      </c>
      <c r="HD32" s="1" t="s">
        <v>232</v>
      </c>
      <c r="HE32" s="1" t="s">
        <v>45</v>
      </c>
      <c r="HF32" s="1">
        <v>11</v>
      </c>
      <c r="HG32" s="1" t="s">
        <v>232</v>
      </c>
      <c r="HH32" s="43" t="s">
        <v>45</v>
      </c>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93"/>
      <c r="KN32" s="76"/>
      <c r="KO32" s="76"/>
    </row>
    <row r="33" spans="1:301" ht="21">
      <c r="A33" s="92"/>
      <c r="B33" s="92"/>
      <c r="C33" s="92"/>
      <c r="D33" s="80"/>
      <c r="E33" s="80"/>
      <c r="F33" s="80"/>
      <c r="G33" s="80"/>
      <c r="H33" s="80"/>
      <c r="I33" s="80"/>
      <c r="J33" s="80"/>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4"/>
      <c r="BN33" s="74"/>
      <c r="BO33" s="74"/>
      <c r="BP33" s="74"/>
      <c r="BQ33" s="74"/>
      <c r="BR33" s="74"/>
      <c r="BS33" s="74"/>
      <c r="BT33" s="74"/>
      <c r="BU33" s="74"/>
      <c r="BV33" s="74"/>
      <c r="BW33" s="74"/>
      <c r="BX33" s="74"/>
      <c r="BY33" s="74"/>
      <c r="BZ33" s="74"/>
      <c r="CA33" s="74"/>
      <c r="CB33" s="116"/>
      <c r="CC33" s="124" t="s">
        <v>250</v>
      </c>
      <c r="EG33" s="47">
        <v>5</v>
      </c>
      <c r="EH33" s="48" t="str">
        <f>'Neocate® &amp; Pepticate™ DRI Calc'!$K34</f>
        <v>Vitamin K</v>
      </c>
      <c r="EI33" s="41">
        <v>75</v>
      </c>
      <c r="EJ33" s="42" t="s">
        <v>231</v>
      </c>
      <c r="EK33" s="42" t="s">
        <v>56</v>
      </c>
      <c r="EL33" s="42">
        <v>75</v>
      </c>
      <c r="EM33" s="42" t="s">
        <v>231</v>
      </c>
      <c r="EN33" s="42" t="s">
        <v>56</v>
      </c>
      <c r="EO33" s="42">
        <v>90</v>
      </c>
      <c r="EP33" s="42" t="s">
        <v>231</v>
      </c>
      <c r="EQ33" s="42" t="s">
        <v>56</v>
      </c>
      <c r="ER33" s="42">
        <v>120</v>
      </c>
      <c r="ES33" s="42" t="s">
        <v>231</v>
      </c>
      <c r="ET33" s="42" t="s">
        <v>56</v>
      </c>
      <c r="EU33" s="42">
        <v>2</v>
      </c>
      <c r="EV33" s="40" t="s">
        <v>231</v>
      </c>
      <c r="EW33" s="42" t="s">
        <v>56</v>
      </c>
      <c r="EX33" s="42">
        <v>2</v>
      </c>
      <c r="EY33" s="40" t="s">
        <v>231</v>
      </c>
      <c r="EZ33" s="42" t="s">
        <v>56</v>
      </c>
      <c r="FA33" s="42">
        <v>30</v>
      </c>
      <c r="FB33" s="42" t="s">
        <v>231</v>
      </c>
      <c r="FC33" s="42" t="s">
        <v>56</v>
      </c>
      <c r="FD33" s="42">
        <v>30</v>
      </c>
      <c r="FE33" s="42" t="s">
        <v>231</v>
      </c>
      <c r="FF33" s="42" t="s">
        <v>56</v>
      </c>
      <c r="FG33" s="42">
        <v>75</v>
      </c>
      <c r="FH33" s="42" t="s">
        <v>231</v>
      </c>
      <c r="FI33" s="42" t="s">
        <v>56</v>
      </c>
      <c r="FJ33" s="42">
        <v>75</v>
      </c>
      <c r="FK33" s="42" t="s">
        <v>231</v>
      </c>
      <c r="FL33" s="42" t="s">
        <v>56</v>
      </c>
      <c r="FM33" s="42">
        <v>90</v>
      </c>
      <c r="FN33" s="42" t="s">
        <v>231</v>
      </c>
      <c r="FO33" s="42" t="s">
        <v>56</v>
      </c>
      <c r="FP33" s="42">
        <v>90</v>
      </c>
      <c r="FQ33" s="42" t="s">
        <v>231</v>
      </c>
      <c r="FR33" s="42" t="s">
        <v>56</v>
      </c>
      <c r="FS33" s="42">
        <v>120</v>
      </c>
      <c r="FT33" s="42" t="s">
        <v>231</v>
      </c>
      <c r="FU33" s="42" t="s">
        <v>56</v>
      </c>
      <c r="FV33" s="42">
        <v>90</v>
      </c>
      <c r="FW33" s="42" t="s">
        <v>231</v>
      </c>
      <c r="FX33" s="42" t="s">
        <v>56</v>
      </c>
      <c r="FY33" s="42">
        <v>90</v>
      </c>
      <c r="FZ33" s="42" t="s">
        <v>231</v>
      </c>
      <c r="GA33" s="42" t="s">
        <v>56</v>
      </c>
      <c r="GB33" s="42">
        <v>90</v>
      </c>
      <c r="GC33" s="42" t="s">
        <v>231</v>
      </c>
      <c r="GD33" s="42" t="s">
        <v>56</v>
      </c>
      <c r="GE33" s="42">
        <v>120</v>
      </c>
      <c r="GF33" s="42" t="s">
        <v>231</v>
      </c>
      <c r="GG33" s="42" t="s">
        <v>56</v>
      </c>
      <c r="GH33" s="42">
        <v>90</v>
      </c>
      <c r="GI33" s="42" t="s">
        <v>231</v>
      </c>
      <c r="GJ33" s="42" t="s">
        <v>56</v>
      </c>
      <c r="GK33" s="42">
        <v>55</v>
      </c>
      <c r="GL33" s="42" t="s">
        <v>231</v>
      </c>
      <c r="GM33" s="42" t="s">
        <v>56</v>
      </c>
      <c r="GN33" s="42">
        <v>55</v>
      </c>
      <c r="GO33" s="42" t="s">
        <v>231</v>
      </c>
      <c r="GP33" s="42" t="s">
        <v>56</v>
      </c>
      <c r="GQ33" s="42">
        <v>90</v>
      </c>
      <c r="GR33" s="42" t="s">
        <v>231</v>
      </c>
      <c r="GS33" s="42" t="s">
        <v>56</v>
      </c>
      <c r="GT33" s="42">
        <v>120</v>
      </c>
      <c r="GU33" s="42" t="s">
        <v>231</v>
      </c>
      <c r="GV33" s="42" t="s">
        <v>56</v>
      </c>
      <c r="GW33" s="42">
        <v>2.5</v>
      </c>
      <c r="GX33" s="40" t="s">
        <v>231</v>
      </c>
      <c r="GY33" s="42" t="s">
        <v>56</v>
      </c>
      <c r="GZ33" s="42">
        <v>2.5</v>
      </c>
      <c r="HA33" s="40" t="s">
        <v>231</v>
      </c>
      <c r="HB33" s="42" t="s">
        <v>56</v>
      </c>
      <c r="HC33" s="42">
        <v>60</v>
      </c>
      <c r="HD33" s="42" t="s">
        <v>231</v>
      </c>
      <c r="HE33" s="42" t="s">
        <v>56</v>
      </c>
      <c r="HF33" s="42">
        <v>60</v>
      </c>
      <c r="HG33" s="42" t="s">
        <v>231</v>
      </c>
      <c r="HH33" s="49" t="s">
        <v>56</v>
      </c>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93"/>
      <c r="KN33" s="76"/>
      <c r="KO33" s="76"/>
    </row>
    <row r="34" spans="1:301" ht="21">
      <c r="A34" s="92"/>
      <c r="B34" s="92"/>
      <c r="C34" s="92"/>
      <c r="D34" s="80"/>
      <c r="E34" s="80"/>
      <c r="F34" s="80"/>
      <c r="G34" s="80"/>
      <c r="H34" s="80"/>
      <c r="I34" s="80"/>
      <c r="J34" s="80"/>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4"/>
      <c r="BN34" s="74"/>
      <c r="BO34" s="74"/>
      <c r="BP34" s="74"/>
      <c r="BQ34" s="74"/>
      <c r="BR34" s="74"/>
      <c r="BS34" s="74"/>
      <c r="BT34" s="74"/>
      <c r="BU34" s="74"/>
      <c r="BV34" s="74"/>
      <c r="BW34" s="74"/>
      <c r="BX34" s="74"/>
      <c r="BY34" s="74"/>
      <c r="BZ34" s="74"/>
      <c r="CA34" s="74"/>
      <c r="CB34" s="116"/>
      <c r="CC34" s="124" t="s">
        <v>251</v>
      </c>
      <c r="KM34" s="93"/>
      <c r="KN34" s="77"/>
      <c r="KO34" s="76"/>
    </row>
    <row r="35" spans="1:301" ht="21">
      <c r="A35" s="92"/>
      <c r="B35" s="92"/>
      <c r="C35" s="92"/>
      <c r="D35" s="80"/>
      <c r="E35" s="80"/>
      <c r="F35" s="80"/>
      <c r="G35" s="80"/>
      <c r="H35" s="80"/>
      <c r="I35" s="80"/>
      <c r="J35" s="80"/>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4"/>
      <c r="BN35" s="74"/>
      <c r="BO35" s="74"/>
      <c r="BP35" s="74"/>
      <c r="BQ35" s="74"/>
      <c r="BR35" s="74"/>
      <c r="BS35" s="74"/>
      <c r="BT35" s="74"/>
      <c r="BU35" s="74"/>
      <c r="BV35" s="74"/>
      <c r="BW35" s="74"/>
      <c r="BX35" s="74"/>
      <c r="BY35" s="74"/>
      <c r="BZ35" s="74"/>
      <c r="CA35" s="74"/>
      <c r="CB35" s="116"/>
      <c r="CC35" s="124" t="s">
        <v>252</v>
      </c>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93"/>
      <c r="KN35" s="77"/>
      <c r="KO35" s="76"/>
    </row>
    <row r="36" spans="1:301" ht="21">
      <c r="A36" s="92"/>
      <c r="B36" s="92"/>
      <c r="C36" s="92"/>
      <c r="D36" s="80"/>
      <c r="E36" s="80"/>
      <c r="F36" s="80"/>
      <c r="G36" s="80"/>
      <c r="H36" s="80"/>
      <c r="I36" s="80"/>
      <c r="J36" s="80"/>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4"/>
      <c r="BN36" s="74"/>
      <c r="BO36" s="74"/>
      <c r="BP36" s="74"/>
      <c r="BQ36" s="74"/>
      <c r="BR36" s="74"/>
      <c r="BS36" s="74"/>
      <c r="BT36" s="74"/>
      <c r="BU36" s="74"/>
      <c r="BV36" s="74"/>
      <c r="BW36" s="74"/>
      <c r="BX36" s="74"/>
      <c r="BY36" s="74"/>
      <c r="BZ36" s="74"/>
      <c r="CA36" s="74"/>
      <c r="CB36" s="116"/>
      <c r="CC36" s="124" t="s">
        <v>253</v>
      </c>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93"/>
      <c r="KN36" s="127"/>
      <c r="KO36" s="76"/>
    </row>
    <row r="37" spans="1:301" ht="21">
      <c r="A37" s="92"/>
      <c r="B37" s="92"/>
      <c r="C37" s="92"/>
      <c r="D37" s="80"/>
      <c r="E37" s="80"/>
      <c r="F37" s="80"/>
      <c r="G37" s="80"/>
      <c r="H37" s="80"/>
      <c r="I37" s="80"/>
      <c r="J37" s="80"/>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4"/>
      <c r="BN37" s="74"/>
      <c r="BO37" s="74"/>
      <c r="BP37" s="74"/>
      <c r="BQ37" s="74"/>
      <c r="BR37" s="74"/>
      <c r="BS37" s="74"/>
      <c r="BT37" s="74"/>
      <c r="BU37" s="74"/>
      <c r="BV37" s="74"/>
      <c r="BW37" s="74"/>
      <c r="BX37" s="74"/>
      <c r="BY37" s="74"/>
      <c r="BZ37" s="74"/>
      <c r="CA37" s="74"/>
      <c r="CB37" s="116"/>
      <c r="CC37" s="124" t="s">
        <v>254</v>
      </c>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93"/>
      <c r="KN37" s="77"/>
      <c r="KO37" s="76"/>
    </row>
    <row r="38" spans="1:301" ht="21">
      <c r="A38" s="92"/>
      <c r="B38" s="92"/>
      <c r="C38" s="92"/>
      <c r="D38" s="80"/>
      <c r="E38" s="80"/>
      <c r="F38" s="80"/>
      <c r="G38" s="80"/>
      <c r="H38" s="80"/>
      <c r="I38" s="80"/>
      <c r="J38" s="80"/>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4"/>
      <c r="BN38" s="74"/>
      <c r="BO38" s="74"/>
      <c r="BP38" s="74"/>
      <c r="BQ38" s="74"/>
      <c r="BR38" s="74"/>
      <c r="BS38" s="74"/>
      <c r="BT38" s="74"/>
      <c r="BU38" s="74"/>
      <c r="BV38" s="74"/>
      <c r="BW38" s="74"/>
      <c r="BX38" s="74"/>
      <c r="BY38" s="74"/>
      <c r="BZ38" s="74"/>
      <c r="CA38" s="74"/>
      <c r="CB38" s="116"/>
      <c r="CC38" s="124" t="s">
        <v>255</v>
      </c>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93"/>
      <c r="KN38" s="77"/>
      <c r="KO38" s="76"/>
    </row>
    <row r="39" spans="1:301" ht="21">
      <c r="A39" s="92"/>
      <c r="B39" s="92"/>
      <c r="C39" s="92"/>
      <c r="D39" s="80"/>
      <c r="E39" s="80"/>
      <c r="F39" s="80"/>
      <c r="G39" s="80"/>
      <c r="H39" s="80"/>
      <c r="I39" s="80"/>
      <c r="J39" s="80"/>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4"/>
      <c r="BN39" s="74"/>
      <c r="BO39" s="74"/>
      <c r="BP39" s="74"/>
      <c r="BQ39" s="74"/>
      <c r="BR39" s="74"/>
      <c r="BS39" s="74"/>
      <c r="BT39" s="74"/>
      <c r="BU39" s="74"/>
      <c r="BV39" s="74"/>
      <c r="BW39" s="74"/>
      <c r="BX39" s="74"/>
      <c r="BY39" s="74"/>
      <c r="BZ39" s="74"/>
      <c r="CA39" s="74"/>
      <c r="CB39" s="116"/>
      <c r="CC39" s="124" t="s">
        <v>256</v>
      </c>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93"/>
      <c r="KN39" s="77"/>
      <c r="KO39" s="76"/>
    </row>
    <row r="40" spans="1:301" ht="21">
      <c r="A40" s="92"/>
      <c r="B40" s="92"/>
      <c r="C40" s="92"/>
      <c r="D40" s="80"/>
      <c r="E40" s="80"/>
      <c r="F40" s="80"/>
      <c r="G40" s="80"/>
      <c r="H40" s="80"/>
      <c r="I40" s="80"/>
      <c r="J40" s="80"/>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4"/>
      <c r="BN40" s="74"/>
      <c r="BO40" s="74"/>
      <c r="BP40" s="74"/>
      <c r="BQ40" s="74"/>
      <c r="BR40" s="74"/>
      <c r="BS40" s="74"/>
      <c r="BT40" s="74"/>
      <c r="BU40" s="74"/>
      <c r="BV40" s="74"/>
      <c r="BW40" s="74"/>
      <c r="BX40" s="74"/>
      <c r="BY40" s="74"/>
      <c r="BZ40" s="74"/>
      <c r="CA40" s="74"/>
      <c r="CB40" s="116"/>
      <c r="CC40" s="93"/>
      <c r="CD40" s="93"/>
      <c r="CE40" s="93"/>
      <c r="CF40" s="93"/>
      <c r="CG40" s="93"/>
      <c r="CH40" s="93"/>
      <c r="CI40" s="93"/>
      <c r="CJ40" s="93"/>
      <c r="CK40" s="93"/>
      <c r="CL40" s="93"/>
      <c r="CM40" s="93"/>
      <c r="CN40" s="93"/>
      <c r="CO40" s="93"/>
      <c r="CP40" s="93"/>
      <c r="CQ40" s="93"/>
      <c r="CR40" s="93"/>
      <c r="CS40" s="93"/>
      <c r="CT40" s="93"/>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c r="DU40" s="93"/>
      <c r="DV40" s="93"/>
      <c r="DW40" s="93"/>
      <c r="DX40" s="93"/>
      <c r="DY40" s="93"/>
      <c r="DZ40" s="93"/>
      <c r="EA40" s="93"/>
      <c r="EB40" s="93"/>
      <c r="EC40" s="93"/>
      <c r="ED40" s="93"/>
      <c r="EE40" s="93"/>
      <c r="EF40" s="93"/>
      <c r="EG40" s="93"/>
      <c r="EH40" s="93"/>
      <c r="EI40" s="93"/>
      <c r="EJ40" s="93"/>
      <c r="EK40" s="93"/>
      <c r="EL40" s="93"/>
      <c r="EM40" s="93"/>
      <c r="EN40" s="93"/>
      <c r="EO40" s="93"/>
      <c r="EP40" s="93"/>
      <c r="EQ40" s="93"/>
      <c r="ER40" s="93"/>
      <c r="ES40" s="93"/>
      <c r="ET40" s="93"/>
      <c r="EU40" s="93"/>
      <c r="EV40" s="93"/>
      <c r="EW40" s="93"/>
      <c r="EX40" s="93"/>
      <c r="EY40" s="93"/>
      <c r="EZ40" s="93"/>
      <c r="FA40" s="93"/>
      <c r="FB40" s="93"/>
      <c r="FC40" s="93"/>
      <c r="FD40" s="93"/>
      <c r="FE40" s="93"/>
      <c r="FF40" s="93"/>
      <c r="FG40" s="93"/>
      <c r="FH40" s="93"/>
      <c r="FI40" s="93"/>
      <c r="FJ40" s="93"/>
      <c r="FK40" s="93"/>
      <c r="FL40" s="93"/>
      <c r="FM40" s="93"/>
      <c r="FN40" s="93"/>
      <c r="FO40" s="93"/>
      <c r="FP40" s="93"/>
      <c r="FQ40" s="93"/>
      <c r="FR40" s="93"/>
      <c r="FS40" s="93"/>
      <c r="FT40" s="93"/>
      <c r="FU40" s="93"/>
      <c r="FV40" s="93"/>
      <c r="FW40" s="93"/>
      <c r="FX40" s="93"/>
      <c r="FY40" s="93"/>
      <c r="FZ40" s="93"/>
      <c r="GA40" s="93"/>
      <c r="GB40" s="93"/>
      <c r="GC40" s="93"/>
      <c r="GD40" s="93"/>
      <c r="GE40" s="93"/>
      <c r="GF40" s="93"/>
      <c r="GG40" s="93"/>
      <c r="GH40" s="93"/>
      <c r="GI40" s="93"/>
      <c r="GJ40" s="93"/>
      <c r="GK40" s="93"/>
      <c r="GL40" s="93"/>
      <c r="GM40" s="93"/>
      <c r="GN40" s="93"/>
      <c r="GO40" s="93"/>
      <c r="GP40" s="93"/>
      <c r="GQ40" s="93"/>
      <c r="GR40" s="93"/>
      <c r="GS40" s="93"/>
      <c r="GT40" s="93"/>
      <c r="GU40" s="93"/>
      <c r="GV40" s="93"/>
      <c r="GW40" s="93"/>
      <c r="GX40" s="93"/>
      <c r="GY40" s="93"/>
      <c r="GZ40" s="93"/>
      <c r="HA40" s="93"/>
      <c r="HB40" s="93"/>
      <c r="HC40" s="93"/>
      <c r="HD40" s="93"/>
      <c r="HE40" s="93"/>
      <c r="HF40" s="93"/>
      <c r="HG40" s="93"/>
      <c r="HH40" s="93"/>
      <c r="HI40" s="93"/>
      <c r="HJ40" s="93"/>
      <c r="HK40" s="93"/>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93"/>
      <c r="KM40" s="93"/>
      <c r="KN40" s="77"/>
      <c r="KO40" s="76"/>
    </row>
    <row r="41" spans="1:301" ht="21">
      <c r="A41" s="92"/>
      <c r="B41" s="92"/>
      <c r="C41" s="92"/>
      <c r="D41" s="80"/>
      <c r="E41" s="80"/>
      <c r="F41" s="80"/>
      <c r="G41" s="80"/>
      <c r="H41" s="80"/>
      <c r="I41" s="80"/>
      <c r="J41" s="80"/>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4"/>
      <c r="BN41" s="74"/>
      <c r="BO41" s="74"/>
      <c r="BP41" s="74"/>
      <c r="BQ41" s="74"/>
      <c r="BR41" s="74"/>
      <c r="BS41" s="74"/>
      <c r="BT41" s="74"/>
      <c r="BU41" s="74"/>
      <c r="BV41" s="74"/>
      <c r="BW41" s="74"/>
      <c r="BX41" s="74"/>
      <c r="BY41" s="74"/>
      <c r="BZ41" s="74"/>
      <c r="CA41" s="74"/>
      <c r="CB41" s="116"/>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c r="EF41" s="93"/>
      <c r="EG41" s="93"/>
      <c r="EH41" s="93"/>
      <c r="EI41" s="93"/>
      <c r="EJ41" s="93"/>
      <c r="EK41" s="93"/>
      <c r="EL41" s="93"/>
      <c r="EM41" s="93"/>
      <c r="EN41" s="93"/>
      <c r="EO41" s="93"/>
      <c r="EP41" s="93"/>
      <c r="EQ41" s="93"/>
      <c r="ER41" s="93"/>
      <c r="ES41" s="93"/>
      <c r="ET41" s="93"/>
      <c r="EU41" s="93"/>
      <c r="EV41" s="93"/>
      <c r="EW41" s="93"/>
      <c r="EX41" s="93"/>
      <c r="EY41" s="93"/>
      <c r="EZ41" s="93"/>
      <c r="FA41" s="93"/>
      <c r="FB41" s="93"/>
      <c r="FC41" s="93"/>
      <c r="FD41" s="93"/>
      <c r="FE41" s="93"/>
      <c r="FF41" s="93"/>
      <c r="FG41" s="93"/>
      <c r="FH41" s="93"/>
      <c r="FI41" s="93"/>
      <c r="FJ41" s="93"/>
      <c r="FK41" s="93"/>
      <c r="FL41" s="93"/>
      <c r="FM41" s="93"/>
      <c r="FN41" s="93"/>
      <c r="FO41" s="93"/>
      <c r="FP41" s="93"/>
      <c r="FQ41" s="93"/>
      <c r="FR41" s="93"/>
      <c r="FS41" s="93"/>
      <c r="FT41" s="93"/>
      <c r="FU41" s="93"/>
      <c r="FV41" s="93"/>
      <c r="FW41" s="93"/>
      <c r="FX41" s="93"/>
      <c r="FY41" s="93"/>
      <c r="FZ41" s="93"/>
      <c r="GA41" s="93"/>
      <c r="GB41" s="93"/>
      <c r="GC41" s="93"/>
      <c r="GD41" s="93"/>
      <c r="GE41" s="93"/>
      <c r="GF41" s="93"/>
      <c r="GG41" s="93"/>
      <c r="GH41" s="93"/>
      <c r="GI41" s="93"/>
      <c r="GJ41" s="93"/>
      <c r="GK41" s="93"/>
      <c r="GL41" s="93"/>
      <c r="GM41" s="93"/>
      <c r="GN41" s="93"/>
      <c r="GO41" s="93"/>
      <c r="GP41" s="93"/>
      <c r="GQ41" s="93"/>
      <c r="GR41" s="93"/>
      <c r="GS41" s="93"/>
      <c r="GT41" s="93"/>
      <c r="GU41" s="93"/>
      <c r="GV41" s="93"/>
      <c r="GW41" s="93"/>
      <c r="GX41" s="93"/>
      <c r="GY41" s="93"/>
      <c r="GZ41" s="93"/>
      <c r="HA41" s="93"/>
      <c r="HB41" s="93"/>
      <c r="HC41" s="93"/>
      <c r="HD41" s="93"/>
      <c r="HE41" s="93"/>
      <c r="HF41" s="93"/>
      <c r="HG41" s="93"/>
      <c r="HH41" s="93"/>
      <c r="HI41" s="93"/>
      <c r="HJ41" s="93"/>
      <c r="HK41" s="93"/>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93"/>
      <c r="KM41" s="93"/>
      <c r="KN41" s="77"/>
      <c r="KO41" s="76"/>
    </row>
    <row r="42" spans="1:301" ht="21">
      <c r="A42" s="92"/>
      <c r="B42" s="92"/>
      <c r="C42" s="92"/>
      <c r="D42" s="80"/>
      <c r="E42" s="80"/>
      <c r="F42" s="80"/>
      <c r="G42" s="80"/>
      <c r="H42" s="80"/>
      <c r="I42" s="80"/>
      <c r="J42" s="80"/>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4"/>
      <c r="BN42" s="74"/>
      <c r="BO42" s="74"/>
      <c r="BP42" s="74"/>
      <c r="BQ42" s="74"/>
      <c r="BR42" s="74"/>
      <c r="BS42" s="74"/>
      <c r="BT42" s="74"/>
      <c r="BU42" s="74"/>
      <c r="BV42" s="74"/>
      <c r="BW42" s="74"/>
      <c r="BX42" s="74"/>
      <c r="BY42" s="74"/>
      <c r="BZ42" s="74"/>
      <c r="CA42" s="74"/>
      <c r="CB42" s="11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c r="FO42" s="76"/>
      <c r="FP42" s="76"/>
      <c r="FQ42" s="76"/>
      <c r="FR42" s="76"/>
      <c r="FS42" s="76"/>
      <c r="FT42" s="76"/>
      <c r="FU42" s="76"/>
      <c r="FV42" s="76"/>
      <c r="FW42" s="76"/>
      <c r="FX42" s="76"/>
      <c r="FY42" s="76"/>
      <c r="FZ42" s="76"/>
      <c r="GA42" s="76"/>
      <c r="GB42" s="76"/>
      <c r="GC42" s="76"/>
      <c r="GD42" s="76"/>
      <c r="GE42" s="76"/>
      <c r="GF42" s="76"/>
      <c r="GG42" s="76"/>
      <c r="GH42" s="76"/>
      <c r="GI42" s="76"/>
      <c r="GJ42" s="76"/>
      <c r="GK42" s="76"/>
      <c r="GL42" s="76"/>
      <c r="GM42" s="76"/>
      <c r="GN42" s="76"/>
      <c r="GO42" s="76"/>
      <c r="GP42" s="76"/>
      <c r="GQ42" s="76"/>
      <c r="GR42" s="76"/>
      <c r="GS42" s="76"/>
      <c r="GT42" s="76"/>
      <c r="GU42" s="76"/>
      <c r="GV42" s="76"/>
      <c r="GW42" s="76"/>
      <c r="GX42" s="76"/>
      <c r="GY42" s="76"/>
      <c r="GZ42" s="76"/>
      <c r="HA42" s="76"/>
      <c r="HB42" s="76"/>
      <c r="HC42" s="76"/>
      <c r="HD42" s="76"/>
      <c r="HE42" s="76"/>
      <c r="HF42" s="76"/>
      <c r="HG42" s="76"/>
      <c r="HH42" s="76"/>
      <c r="HI42" s="76"/>
      <c r="HJ42" s="76"/>
      <c r="HK42" s="76"/>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76"/>
      <c r="KM42" s="76"/>
      <c r="KN42" s="77"/>
      <c r="KO42" s="76"/>
    </row>
    <row r="43" spans="1:301" ht="21">
      <c r="A43" s="92"/>
      <c r="B43" s="92"/>
      <c r="C43" s="92"/>
      <c r="D43" s="80"/>
      <c r="E43" s="80"/>
      <c r="F43" s="80"/>
      <c r="G43" s="80"/>
      <c r="H43" s="80"/>
      <c r="I43" s="80"/>
      <c r="J43" s="80"/>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4"/>
      <c r="BN43" s="74"/>
      <c r="BO43" s="74"/>
      <c r="BP43" s="74"/>
      <c r="BQ43" s="74"/>
      <c r="BR43" s="74"/>
      <c r="BS43" s="74"/>
      <c r="BT43" s="74"/>
      <c r="BU43" s="74"/>
      <c r="BV43" s="74"/>
      <c r="BW43" s="74"/>
      <c r="BX43" s="74"/>
      <c r="BY43" s="74"/>
      <c r="BZ43" s="74"/>
      <c r="CA43" s="74"/>
      <c r="CB43" s="11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c r="EO43" s="76"/>
      <c r="EP43" s="76"/>
      <c r="EQ43" s="76"/>
      <c r="ER43" s="76"/>
      <c r="ES43" s="76"/>
      <c r="ET43" s="76"/>
      <c r="EU43" s="76"/>
      <c r="EV43" s="76"/>
      <c r="EW43" s="76"/>
      <c r="EX43" s="76"/>
      <c r="EY43" s="76"/>
      <c r="EZ43" s="76"/>
      <c r="FA43" s="76"/>
      <c r="FB43" s="76"/>
      <c r="FC43" s="76"/>
      <c r="FD43" s="76"/>
      <c r="FE43" s="76"/>
      <c r="FF43" s="76"/>
      <c r="FG43" s="76"/>
      <c r="FH43" s="76"/>
      <c r="FI43" s="76"/>
      <c r="FJ43" s="76"/>
      <c r="FK43" s="76"/>
      <c r="FL43" s="76"/>
      <c r="FM43" s="76"/>
      <c r="FN43" s="76"/>
      <c r="FO43" s="76"/>
      <c r="FP43" s="76"/>
      <c r="FQ43" s="76"/>
      <c r="FR43" s="76"/>
      <c r="FS43" s="76"/>
      <c r="FT43" s="76"/>
      <c r="FU43" s="76"/>
      <c r="FV43" s="76"/>
      <c r="FW43" s="76"/>
      <c r="FX43" s="76"/>
      <c r="FY43" s="76"/>
      <c r="FZ43" s="76"/>
      <c r="GA43" s="76"/>
      <c r="GB43" s="76"/>
      <c r="GC43" s="76"/>
      <c r="GD43" s="76"/>
      <c r="GE43" s="76"/>
      <c r="GF43" s="76"/>
      <c r="GG43" s="76"/>
      <c r="GH43" s="76"/>
      <c r="GI43" s="76"/>
      <c r="GJ43" s="76"/>
      <c r="GK43" s="76"/>
      <c r="GL43" s="76"/>
      <c r="GM43" s="76"/>
      <c r="GN43" s="76"/>
      <c r="GO43" s="76"/>
      <c r="GP43" s="76"/>
      <c r="GQ43" s="76"/>
      <c r="GR43" s="76"/>
      <c r="GS43" s="76"/>
      <c r="GT43" s="76"/>
      <c r="GU43" s="76"/>
      <c r="GV43" s="76"/>
      <c r="GW43" s="76"/>
      <c r="GX43" s="76"/>
      <c r="GY43" s="76"/>
      <c r="GZ43" s="76"/>
      <c r="HA43" s="76"/>
      <c r="HB43" s="76"/>
      <c r="HC43" s="76"/>
      <c r="HD43" s="76"/>
      <c r="HE43" s="76"/>
      <c r="HF43" s="76"/>
      <c r="HG43" s="76"/>
      <c r="HH43" s="76"/>
      <c r="HI43" s="76"/>
      <c r="HJ43" s="76"/>
      <c r="HK43" s="76"/>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76"/>
      <c r="KM43" s="76"/>
      <c r="KN43" s="77"/>
      <c r="KO43" s="76"/>
    </row>
    <row r="44" spans="1:301" ht="21">
      <c r="A44" s="92"/>
      <c r="B44" s="92"/>
      <c r="C44" s="92"/>
      <c r="D44" s="80"/>
      <c r="E44" s="80"/>
      <c r="F44" s="80"/>
      <c r="G44" s="80"/>
      <c r="H44" s="80"/>
      <c r="I44" s="80"/>
      <c r="J44" s="80"/>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4"/>
      <c r="BN44" s="74"/>
      <c r="BO44" s="74"/>
      <c r="BP44" s="74"/>
      <c r="BQ44" s="74"/>
      <c r="BR44" s="74"/>
      <c r="BS44" s="74"/>
      <c r="BT44" s="74"/>
      <c r="BU44" s="74"/>
      <c r="BV44" s="74"/>
      <c r="BW44" s="74"/>
      <c r="BX44" s="74"/>
      <c r="BY44" s="74"/>
      <c r="BZ44" s="74"/>
      <c r="CA44" s="74"/>
      <c r="CB44" s="116"/>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N44" s="1"/>
    </row>
    <row r="45" spans="1:301" ht="21">
      <c r="A45" s="92"/>
      <c r="B45" s="92"/>
      <c r="C45" s="92"/>
      <c r="D45" s="80"/>
      <c r="E45" s="80"/>
      <c r="F45" s="80"/>
      <c r="G45" s="80"/>
      <c r="H45" s="80"/>
      <c r="I45" s="80"/>
      <c r="J45" s="80"/>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4"/>
      <c r="BN45" s="74"/>
      <c r="BO45" s="74"/>
      <c r="BP45" s="74"/>
      <c r="BQ45" s="74"/>
      <c r="BR45" s="74"/>
      <c r="BS45" s="74"/>
      <c r="BT45" s="74"/>
      <c r="BU45" s="74"/>
      <c r="BV45" s="74"/>
      <c r="BW45" s="74"/>
      <c r="BX45" s="74"/>
      <c r="BY45" s="74"/>
      <c r="BZ45" s="74"/>
      <c r="CA45" s="74"/>
      <c r="CB45" s="116"/>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N45" s="1"/>
    </row>
    <row r="46" spans="1:301" ht="21">
      <c r="A46" s="92"/>
      <c r="B46" s="92"/>
      <c r="C46" s="92"/>
      <c r="D46" s="80"/>
      <c r="E46" s="80"/>
      <c r="F46" s="80"/>
      <c r="G46" s="80"/>
      <c r="H46" s="80"/>
      <c r="I46" s="80"/>
      <c r="J46" s="80"/>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4"/>
      <c r="BN46" s="74"/>
      <c r="BO46" s="74"/>
      <c r="BP46" s="74"/>
      <c r="BQ46" s="74"/>
      <c r="BR46" s="74"/>
      <c r="BS46" s="74"/>
      <c r="BT46" s="74"/>
      <c r="BU46" s="74"/>
      <c r="BV46" s="74"/>
      <c r="BW46" s="74"/>
      <c r="BX46" s="74"/>
      <c r="BY46" s="74"/>
      <c r="BZ46" s="74"/>
      <c r="CA46" s="74"/>
      <c r="CB46" s="116"/>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N46" s="1"/>
    </row>
    <row r="47" spans="1:301" ht="21">
      <c r="A47" s="92"/>
      <c r="B47" s="92"/>
      <c r="C47" s="92"/>
      <c r="D47" s="80"/>
      <c r="E47" s="80"/>
      <c r="F47" s="80"/>
      <c r="G47" s="80"/>
      <c r="H47" s="80"/>
      <c r="I47" s="80"/>
      <c r="J47" s="80"/>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4"/>
      <c r="BN47" s="74"/>
      <c r="BO47" s="74"/>
      <c r="BP47" s="74"/>
      <c r="BQ47" s="74"/>
      <c r="BR47" s="74"/>
      <c r="BS47" s="74"/>
      <c r="BT47" s="74"/>
      <c r="BU47" s="74"/>
      <c r="BV47" s="74"/>
      <c r="BW47" s="74"/>
      <c r="BX47" s="74"/>
      <c r="BY47" s="74"/>
      <c r="BZ47" s="74"/>
      <c r="CA47" s="74"/>
      <c r="CB47" s="116"/>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N47" s="1"/>
    </row>
    <row r="48" spans="1:301" ht="21">
      <c r="A48" s="92"/>
      <c r="B48" s="92"/>
      <c r="C48" s="92"/>
      <c r="D48" s="80"/>
      <c r="E48" s="80"/>
      <c r="F48" s="80"/>
      <c r="G48" s="80"/>
      <c r="H48" s="80"/>
      <c r="I48" s="80"/>
      <c r="J48" s="80"/>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4"/>
      <c r="BN48" s="74"/>
      <c r="BO48" s="74"/>
      <c r="BP48" s="74"/>
      <c r="BQ48" s="74"/>
      <c r="BR48" s="74"/>
      <c r="BS48" s="74"/>
      <c r="BT48" s="74"/>
      <c r="BU48" s="74"/>
      <c r="BV48" s="74"/>
      <c r="BW48" s="74"/>
      <c r="BX48" s="74"/>
      <c r="BY48" s="74"/>
      <c r="BZ48" s="74"/>
      <c r="CA48" s="74"/>
      <c r="CB48" s="116"/>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N48" s="1"/>
    </row>
    <row r="49" spans="1:300" ht="21">
      <c r="A49" s="92"/>
      <c r="B49" s="92"/>
      <c r="C49" s="92"/>
      <c r="D49" s="80"/>
      <c r="E49" s="80"/>
      <c r="F49" s="80"/>
      <c r="G49" s="80"/>
      <c r="H49" s="80"/>
      <c r="I49" s="80"/>
      <c r="J49" s="80"/>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4"/>
      <c r="BN49" s="74"/>
      <c r="BO49" s="74"/>
      <c r="BP49" s="74"/>
      <c r="BQ49" s="74"/>
      <c r="BR49" s="74"/>
      <c r="BS49" s="74"/>
      <c r="BT49" s="74"/>
      <c r="BU49" s="74"/>
      <c r="BV49" s="74"/>
      <c r="BW49" s="74"/>
      <c r="BX49" s="74"/>
      <c r="BY49" s="74"/>
      <c r="BZ49" s="74"/>
      <c r="CA49" s="74"/>
      <c r="CB49" s="116"/>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N49" s="1"/>
    </row>
    <row r="50" spans="1:300" ht="21">
      <c r="A50" s="92"/>
      <c r="B50" s="92"/>
      <c r="C50" s="92"/>
      <c r="D50" s="80"/>
      <c r="E50" s="80"/>
      <c r="F50" s="80"/>
      <c r="G50" s="80"/>
      <c r="H50" s="80"/>
      <c r="I50" s="80"/>
      <c r="J50" s="80"/>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4"/>
      <c r="BN50" s="74"/>
      <c r="BO50" s="74"/>
      <c r="BP50" s="74"/>
      <c r="BQ50" s="74"/>
      <c r="BR50" s="74"/>
      <c r="BS50" s="74"/>
      <c r="BT50" s="74"/>
      <c r="BU50" s="74"/>
      <c r="BV50" s="74"/>
      <c r="BW50" s="74"/>
      <c r="BX50" s="74"/>
      <c r="BY50" s="74"/>
      <c r="BZ50" s="74"/>
      <c r="CA50" s="74"/>
      <c r="CB50" s="116"/>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N50" s="1"/>
    </row>
    <row r="51" spans="1:300" ht="21">
      <c r="A51" s="92"/>
      <c r="B51" s="92"/>
      <c r="C51" s="92"/>
      <c r="D51" s="80"/>
      <c r="E51" s="80"/>
      <c r="F51" s="80"/>
      <c r="G51" s="80"/>
      <c r="H51" s="80"/>
      <c r="I51" s="80"/>
      <c r="J51" s="80"/>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4"/>
      <c r="BN51" s="74"/>
      <c r="BO51" s="74"/>
      <c r="BP51" s="74"/>
      <c r="BQ51" s="74"/>
      <c r="BR51" s="74"/>
      <c r="BS51" s="74"/>
      <c r="BT51" s="74"/>
      <c r="BU51" s="74"/>
      <c r="BV51" s="74"/>
      <c r="BW51" s="74"/>
      <c r="BX51" s="74"/>
      <c r="BY51" s="74"/>
      <c r="BZ51" s="74"/>
      <c r="CA51" s="74"/>
      <c r="CB51" s="116"/>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N51" s="1"/>
    </row>
    <row r="52" spans="1:300" ht="21">
      <c r="A52" s="92"/>
      <c r="B52" s="92"/>
      <c r="C52" s="92"/>
      <c r="D52" s="80"/>
      <c r="E52" s="80"/>
      <c r="F52" s="80"/>
      <c r="G52" s="80"/>
      <c r="H52" s="80"/>
      <c r="I52" s="80"/>
      <c r="J52" s="80"/>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4"/>
      <c r="BN52" s="74"/>
      <c r="BO52" s="74"/>
      <c r="BP52" s="74"/>
      <c r="BQ52" s="74"/>
      <c r="BR52" s="74"/>
      <c r="BS52" s="74"/>
      <c r="BT52" s="74"/>
      <c r="BU52" s="74"/>
      <c r="BV52" s="74"/>
      <c r="BW52" s="74"/>
      <c r="BX52" s="74"/>
      <c r="BY52" s="74"/>
      <c r="BZ52" s="74"/>
      <c r="CA52" s="74"/>
      <c r="CB52" s="116"/>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N52" s="1"/>
    </row>
    <row r="53" spans="1:300" ht="21">
      <c r="A53" s="92"/>
      <c r="B53" s="92"/>
      <c r="C53" s="92"/>
      <c r="D53" s="80"/>
      <c r="E53" s="80"/>
      <c r="F53" s="80"/>
      <c r="G53" s="80"/>
      <c r="H53" s="80"/>
      <c r="I53" s="80"/>
      <c r="J53" s="80"/>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4"/>
      <c r="BN53" s="74"/>
      <c r="BO53" s="74"/>
      <c r="BP53" s="74"/>
      <c r="BQ53" s="74"/>
      <c r="BR53" s="74"/>
      <c r="BS53" s="74"/>
      <c r="BT53" s="74"/>
      <c r="BU53" s="74"/>
      <c r="BV53" s="74"/>
      <c r="BW53" s="74"/>
      <c r="BX53" s="74"/>
      <c r="BY53" s="74"/>
      <c r="BZ53" s="74"/>
      <c r="CA53" s="74"/>
      <c r="CB53" s="116"/>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N53" s="1"/>
    </row>
    <row r="54" spans="1:300" ht="21">
      <c r="A54" s="92"/>
      <c r="B54" s="92"/>
      <c r="C54" s="92"/>
      <c r="D54" s="80"/>
      <c r="E54" s="80"/>
      <c r="F54" s="80"/>
      <c r="G54" s="80"/>
      <c r="H54" s="80"/>
      <c r="I54" s="80"/>
      <c r="J54" s="80"/>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4"/>
      <c r="BN54" s="74"/>
      <c r="BO54" s="74"/>
      <c r="BP54" s="74"/>
      <c r="BQ54" s="74"/>
      <c r="BR54" s="74"/>
      <c r="BS54" s="74"/>
      <c r="BT54" s="74"/>
      <c r="BU54" s="74"/>
      <c r="BV54" s="74"/>
      <c r="BW54" s="74"/>
      <c r="BX54" s="74"/>
      <c r="BY54" s="74"/>
      <c r="BZ54" s="74"/>
      <c r="CA54" s="74"/>
      <c r="CB54" s="116"/>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N54" s="1"/>
    </row>
    <row r="55" spans="1:300" ht="21">
      <c r="A55" s="92"/>
      <c r="B55" s="92"/>
      <c r="C55" s="92"/>
      <c r="D55" s="80"/>
      <c r="E55" s="80"/>
      <c r="F55" s="80"/>
      <c r="G55" s="80"/>
      <c r="H55" s="80"/>
      <c r="I55" s="80"/>
      <c r="J55" s="80"/>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4"/>
      <c r="BN55" s="74"/>
      <c r="BO55" s="74"/>
      <c r="BP55" s="74"/>
      <c r="BQ55" s="74"/>
      <c r="BR55" s="74"/>
      <c r="BS55" s="74"/>
      <c r="BT55" s="74"/>
      <c r="BU55" s="74"/>
      <c r="BV55" s="74"/>
      <c r="BW55" s="74"/>
      <c r="BX55" s="74"/>
      <c r="BY55" s="74"/>
      <c r="BZ55" s="74"/>
      <c r="CA55" s="74"/>
      <c r="CB55" s="93"/>
    </row>
    <row r="56" spans="1:300" ht="21">
      <c r="A56" s="92"/>
      <c r="B56" s="92"/>
      <c r="C56" s="92"/>
      <c r="D56" s="80"/>
      <c r="E56" s="80"/>
      <c r="F56" s="80"/>
      <c r="G56" s="80"/>
      <c r="H56" s="80"/>
      <c r="I56" s="80"/>
      <c r="J56" s="80"/>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4"/>
      <c r="BN56" s="74"/>
      <c r="BO56" s="74"/>
      <c r="BP56" s="74"/>
      <c r="BQ56" s="74"/>
      <c r="BR56" s="74"/>
      <c r="BS56" s="74"/>
      <c r="BT56" s="74"/>
      <c r="BU56" s="74"/>
      <c r="BV56" s="74"/>
      <c r="BW56" s="74"/>
      <c r="BX56" s="74"/>
      <c r="BY56" s="74"/>
      <c r="BZ56" s="74"/>
      <c r="CA56" s="74"/>
      <c r="CB56" s="93"/>
    </row>
    <row r="57" spans="1:300">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6"/>
      <c r="BS57" s="76"/>
      <c r="BT57" s="76"/>
      <c r="BU57" s="76"/>
      <c r="BV57" s="76"/>
      <c r="BW57" s="76"/>
      <c r="BX57" s="76"/>
      <c r="BY57" s="76"/>
      <c r="BZ57" s="76"/>
      <c r="CA57" s="76"/>
      <c r="CB57" s="76"/>
    </row>
    <row r="58" spans="1:300">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row>
  </sheetData>
  <sheetProtection algorithmName="SHA-512" hashValue="+TOSdJVwcP9PYQTUFkIAoyFTcMmU0wMzb3ftC1MnAeS3YVcezhUcVgpq5Jwfal5YmS21NIFQ7bowl62Nz3lclw==" saltValue="/72iDbschrEAjlJGylBMvw==" spinCount="100000" sheet="1" objects="1" scenarios="1"/>
  <sortState xmlns:xlrd2="http://schemas.microsoft.com/office/spreadsheetml/2017/richdata2" ref="E3:CA13">
    <sortCondition ref="E3:E13"/>
  </sortState>
  <mergeCells count="3">
    <mergeCell ref="KN1:KO1"/>
    <mergeCell ref="F1:G1"/>
    <mergeCell ref="CE15:CJ15"/>
  </mergeCells>
  <pageMargins left="0.7" right="0.7" top="0.75" bottom="0.75" header="0.3" footer="0.3"/>
  <pageSetup orientation="portrait" r:id="rId1"/>
  <drawing r:id="rId2"/>
  <legacyDrawing r:id="rId3"/>
</worksheet>
</file>

<file path=docMetadata/LabelInfo.xml><?xml version="1.0" encoding="utf-8"?>
<clbl:labelList xmlns:clbl="http://schemas.microsoft.com/office/2020/mipLabelMetadata">
  <clbl:label id="{4720ed5e-c545-46eb-99a5-958dd333e9f2}" enabled="0" method="" siteId="{4720ed5e-c545-46eb-99a5-958dd333e9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Neocate® &amp; Pepticate™ DRI Calc</vt:lpstr>
      <vt:lpstr>Mixing &amp; Measures Tool</vt:lpstr>
      <vt:lpstr>Source info</vt:lpstr>
      <vt:lpstr>Neocate__Syneo__Infant</vt:lpstr>
      <vt:lpstr>'Mixing &amp; Measures Tool'!Print_Area</vt:lpstr>
      <vt:lpstr>'Neocate® &amp; Pepticate™ DRI Calc'!Print_Area</vt:lpstr>
    </vt:vector>
  </TitlesOfParts>
  <Manager/>
  <Company>The Dannon Company,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J. McCandlish</dc:creator>
  <cp:keywords/>
  <dc:description/>
  <cp:lastModifiedBy>O BRIEN Sarah</cp:lastModifiedBy>
  <cp:revision/>
  <dcterms:created xsi:type="dcterms:W3CDTF">2012-02-17T16:36:06Z</dcterms:created>
  <dcterms:modified xsi:type="dcterms:W3CDTF">2024-07-15T18:25:32Z</dcterms:modified>
  <cp:category/>
  <cp:contentStatus/>
</cp:coreProperties>
</file>